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CRodriguezm\Downloads\"/>
    </mc:Choice>
  </mc:AlternateContent>
  <bookViews>
    <workbookView xWindow="0" yWindow="0" windowWidth="28800" windowHeight="11430" tabRatio="553" firstSheet="2" activeTab="2"/>
  </bookViews>
  <sheets>
    <sheet name="DIFERENCIAS" sheetId="52" state="hidden" r:id="rId1"/>
    <sheet name="SOPORTE REPROGRAMACIÓN $ 2017" sheetId="53" state="hidden" r:id="rId2"/>
    <sheet name="ABR-24" sheetId="93" r:id="rId3"/>
  </sheets>
  <externalReferences>
    <externalReference r:id="rId4"/>
  </externalReferences>
  <definedNames>
    <definedName name="_aqj16" localSheetId="2">#REF!</definedName>
    <definedName name="_aqj16">#REF!</definedName>
    <definedName name="_MO5" localSheetId="2">#REF!</definedName>
    <definedName name="_MO5">#REF!</definedName>
    <definedName name="a" localSheetId="2">#REF!</definedName>
    <definedName name="a">#REF!</definedName>
    <definedName name="acumuladoplan" localSheetId="2">#REF!</definedName>
    <definedName name="acumuladoplan">#REF!</definedName>
    <definedName name="alternaplazas" localSheetId="2">#REF!</definedName>
    <definedName name="alternaplazas">#REF!</definedName>
    <definedName name="alternativas" localSheetId="2">#REF!</definedName>
    <definedName name="alternativas">#REF!</definedName>
    <definedName name="ALTERNATIVASCOMERCIALES" localSheetId="2">#REF!</definedName>
    <definedName name="ALTERNATIVASCOMERCIALES">#REF!</definedName>
    <definedName name="AMBIENTETRABAJO" localSheetId="2">#REF!</definedName>
    <definedName name="AMBIENTETRABAJO">#REF!</definedName>
    <definedName name="AÑO">[1]Hoja2!$I$2:$I$5</definedName>
    <definedName name="AREA">[1]Hoja2!$B$2:$B$7</definedName>
    <definedName name="_xlnm.Print_Area" localSheetId="2">'ABR-24'!$A:$AL</definedName>
    <definedName name="CAPACIT" localSheetId="2">#REF!</definedName>
    <definedName name="CAPACIT">#REF!</definedName>
    <definedName name="CAPACITACION" localSheetId="2">#REF!</definedName>
    <definedName name="CAPACITACION">#REF!</definedName>
    <definedName name="CAPACITACIONSERVIDORES" localSheetId="2">#REF!</definedName>
    <definedName name="CAPACITACIONSERVIDORES">#REF!</definedName>
    <definedName name="CATEGORIA">[1]Hoja2!$C$2:$C$8</definedName>
    <definedName name="CODIGOS">[1]Hoja2!$A$2:$A$52</definedName>
    <definedName name="CUALIFICACIÓN" localSheetId="2">#REF!</definedName>
    <definedName name="CUALIFICACIÓN">#REF!</definedName>
    <definedName name="desarrollo" localSheetId="2">#REF!</definedName>
    <definedName name="desarrollo">#REF!</definedName>
    <definedName name="DIA">[1]Hoja2!$H$2:$H$32</definedName>
    <definedName name="e">#REF!</definedName>
    <definedName name="Ejecucionpresupuestal" localSheetId="2">#REF!</definedName>
    <definedName name="Ejecucionpresupuestal">#REF!</definedName>
    <definedName name="EMP" localSheetId="2">#REF!</definedName>
    <definedName name="EMP">#REF!</definedName>
    <definedName name="EMPRENDIMIENTO" localSheetId="2">#REF!</definedName>
    <definedName name="EMPRENDIMIENTO">#REF!</definedName>
    <definedName name="ESTADOSFINNACIEROS" localSheetId="2">#REF!</definedName>
    <definedName name="ESTADOSFINNACIEROS">#REF!</definedName>
    <definedName name="EVALUA">[1]Hoja2!$D$2:$D$7</definedName>
    <definedName name="FOCALIZACIÓN" localSheetId="2">#REF!</definedName>
    <definedName name="FOCALIZACIÓN">#REF!</definedName>
    <definedName name="focasigrh" localSheetId="2">#REF!</definedName>
    <definedName name="focasigrh">#REF!</definedName>
    <definedName name="FRECUENCIA">[1]Hoja2!$E$2:$E$6</definedName>
    <definedName name="gastosgenerales" localSheetId="2">#REF!</definedName>
    <definedName name="gastosgenerales">#REF!</definedName>
    <definedName name="GCO" localSheetId="2">#REF!</definedName>
    <definedName name="GCO">#REF!</definedName>
    <definedName name="GRF" localSheetId="2">#REF!</definedName>
    <definedName name="GRF">#REF!</definedName>
    <definedName name="GRT" localSheetId="2">#REF!</definedName>
    <definedName name="GRT">#REF!</definedName>
    <definedName name="hahaha" localSheetId="2">#REF!</definedName>
    <definedName name="hahaha">#REF!</definedName>
    <definedName name="HUMANA" localSheetId="2">#REF!</definedName>
    <definedName name="HUMANA">#REF!</definedName>
    <definedName name="identif" localSheetId="2">#REF!</definedName>
    <definedName name="identif">#REF!</definedName>
    <definedName name="Identificacion" localSheetId="2">#REF!</definedName>
    <definedName name="Identificacion">#REF!</definedName>
    <definedName name="indicadorcapacitacion" localSheetId="2">#REF!</definedName>
    <definedName name="indicadorcapacitacion">#REF!</definedName>
    <definedName name="indicadoremprendim" localSheetId="2">#REF!</definedName>
    <definedName name="indicadoremprendim">#REF!</definedName>
    <definedName name="indicadorescapacitacion" localSheetId="2">#REF!</definedName>
    <definedName name="indicadorescapacitacion">#REF!</definedName>
    <definedName name="indicadorescomunicaciones" localSheetId="2">#REF!</definedName>
    <definedName name="indicadorescomunicaciones">#REF!</definedName>
    <definedName name="indicadoresemprendimiento" localSheetId="2">#REF!</definedName>
    <definedName name="indicadoresemprendimiento">#REF!</definedName>
    <definedName name="indicadoresfortalecimientof" localSheetId="2">#REF!</definedName>
    <definedName name="indicadoresfortalecimientof">#REF!</definedName>
    <definedName name="indicadoresfortalecimientoinstitucional" localSheetId="2">#REF!</definedName>
    <definedName name="indicadoresfortalecimientoinstitucional">#REF!</definedName>
    <definedName name="Indicadoresgestioncontractual" localSheetId="2">#REF!</definedName>
    <definedName name="Indicadoresgestioncontractual">#REF!</definedName>
    <definedName name="INDICADORESICPP" localSheetId="2">#REF!</definedName>
    <definedName name="INDICADORESICPP">#REF!</definedName>
    <definedName name="indicadoresplazasdemercado" localSheetId="2">#REF!</definedName>
    <definedName name="indicadoresplazasdemercado">#REF!</definedName>
    <definedName name="Indicadoresservicioalusuario" localSheetId="2">#REF!</definedName>
    <definedName name="Indicadoresservicioalusuario">#REF!</definedName>
    <definedName name="INDICADORESTHHH" localSheetId="2">#REF!</definedName>
    <definedName name="INDICADORESTHHH">#REF!</definedName>
    <definedName name="indicadoresvendedoresinformales" localSheetId="2">#REF!</definedName>
    <definedName name="indicadoresvendedoresinformales">#REF!</definedName>
    <definedName name="indicadorfortalecimiento2" localSheetId="2">#REF!</definedName>
    <definedName name="indicadorfortalecimiento2">#REF!</definedName>
    <definedName name="indicadorMB" localSheetId="2">#REF!</definedName>
    <definedName name="indicadorMB">#REF!</definedName>
    <definedName name="indicadorplazas" localSheetId="2">#REF!</definedName>
    <definedName name="indicadorplazas">#REF!</definedName>
    <definedName name="indicvendedores" localSheetId="2">#REF!</definedName>
    <definedName name="indicvendedores">#REF!</definedName>
    <definedName name="indocadoremprendimientof" localSheetId="2">#REF!</definedName>
    <definedName name="indocadoremprendimientof">#REF!</definedName>
    <definedName name="iniciativas" localSheetId="2">#REF!</definedName>
    <definedName name="iniciativas">#REF!</definedName>
    <definedName name="MB" localSheetId="2">#REF!</definedName>
    <definedName name="MB">#REF!</definedName>
    <definedName name="MEC" localSheetId="2">#REF!</definedName>
    <definedName name="MEC">#REF!</definedName>
    <definedName name="mejorargestion" localSheetId="2">#REF!</definedName>
    <definedName name="mejorargestion">#REF!</definedName>
    <definedName name="MES">[1]Hoja2!$G$2:$G$13</definedName>
    <definedName name="NUEVO" localSheetId="2">#REF!</definedName>
    <definedName name="NUEVO">#REF!</definedName>
    <definedName name="Obfocalizacion" localSheetId="2">#REF!</definedName>
    <definedName name="Obfocalizacion">#REF!</definedName>
    <definedName name="Objalternativas" localSheetId="2">#REF!</definedName>
    <definedName name="Objalternativas">#REF!</definedName>
    <definedName name="Objcapacitacion" localSheetId="2">#REF!</definedName>
    <definedName name="Objcapacitacion">#REF!</definedName>
    <definedName name="Objemprendi" localSheetId="2">#REF!</definedName>
    <definedName name="Objemprendi">#REF!</definedName>
    <definedName name="Objetirecursosfinancier" localSheetId="2">#REF!</definedName>
    <definedName name="Objetirecursosfinancier">#REF!</definedName>
    <definedName name="OBJETIVOIDENTIFICACION" localSheetId="2">#REF!</definedName>
    <definedName name="OBJETIVOIDENTIFICACION">#REF!</definedName>
    <definedName name="OBJETIVOINSTITUCIONAL2" localSheetId="2">#REF!</definedName>
    <definedName name="OBJETIVOINSTITUCIONAL2">#REF!</definedName>
    <definedName name="ObjetivoSIG" localSheetId="2">#REF!</definedName>
    <definedName name="ObjetivoSIG">#REF!</definedName>
    <definedName name="Objplazas" localSheetId="2">#REF!</definedName>
    <definedName name="Objplazas">#REF!</definedName>
    <definedName name="Objtalentohumano" localSheetId="2">#REF!</definedName>
    <definedName name="Objtalentohumano">#REF!</definedName>
    <definedName name="PAPRENDIZAJE" localSheetId="2">#REF!</definedName>
    <definedName name="PAPRENDIZAJE">#REF!</definedName>
    <definedName name="PET" localSheetId="2">#REF!</definedName>
    <definedName name="PET">#REF!</definedName>
    <definedName name="PFINNACIERA" localSheetId="2">#REF!</definedName>
    <definedName name="PFINNACIERA">#REF!</definedName>
    <definedName name="Piniciativas" localSheetId="2">#REF!</definedName>
    <definedName name="Piniciativas">#REF!</definedName>
    <definedName name="PLAZAS" localSheetId="2">#REF!</definedName>
    <definedName name="PLAZAS">#REF!</definedName>
    <definedName name="potenicacion" localSheetId="2">#REF!</definedName>
    <definedName name="potenicacion">#REF!</definedName>
    <definedName name="PPROCESO" localSheetId="2">#REF!</definedName>
    <definedName name="PPROCESO">#REF!</definedName>
    <definedName name="procesodesarrollodealternativascomerciales" localSheetId="2">#REF!</definedName>
    <definedName name="procesodesarrollodealternativascomerciales">#REF!</definedName>
    <definedName name="procesoemprendimiento" localSheetId="2">#REF!</definedName>
    <definedName name="procesoemprendimiento">#REF!</definedName>
    <definedName name="procesogestiondeltalentohumano" localSheetId="2">#REF!</definedName>
    <definedName name="procesogestiondeltalentohumano">#REF!</definedName>
    <definedName name="procesogestionfinanciera" localSheetId="2">#REF!</definedName>
    <definedName name="procesogestionfinanciera">#REF!</definedName>
    <definedName name="procesoplazasdemercado" localSheetId="2">#REF!</definedName>
    <definedName name="procesoplazasdemercado">#REF!</definedName>
    <definedName name="proidentif" localSheetId="2">#REF!</definedName>
    <definedName name="proidentif">#REF!</definedName>
    <definedName name="promedio2008" localSheetId="2">#REF!</definedName>
    <definedName name="promedio2008">#REF!</definedName>
    <definedName name="propotenKhumano" localSheetId="2">#REF!</definedName>
    <definedName name="propotenKhumano">#REF!</definedName>
    <definedName name="ProyecMB" localSheetId="2">#REF!</definedName>
    <definedName name="ProyecMB">#REF!</definedName>
    <definedName name="Proyecplazas" localSheetId="2">#REF!</definedName>
    <definedName name="Proyecplazas">#REF!</definedName>
    <definedName name="Proyectcapacitacion" localSheetId="2">#REF!</definedName>
    <definedName name="Proyectcapacitacion">#REF!</definedName>
    <definedName name="Proyectemprendimiento" localSheetId="2">#REF!</definedName>
    <definedName name="Proyectemprendimiento">#REF!</definedName>
    <definedName name="Proyectfortalecimiento" localSheetId="2">#REF!</definedName>
    <definedName name="Proyectfortalecimiento">#REF!</definedName>
    <definedName name="proyectocapacitacion" localSheetId="2">#REF!</definedName>
    <definedName name="proyectocapacitacion">#REF!</definedName>
    <definedName name="proyectocapacitacion22" localSheetId="2">#REF!</definedName>
    <definedName name="proyectocapacitacion22">#REF!</definedName>
    <definedName name="proyectocapacitacionf" localSheetId="2">#REF!</definedName>
    <definedName name="proyectocapacitacionf">#REF!</definedName>
    <definedName name="proyectoemprendimiento" localSheetId="2">#REF!</definedName>
    <definedName name="proyectoemprendimiento">#REF!</definedName>
    <definedName name="proyectofortalecimientoinstitucional" localSheetId="2">#REF!</definedName>
    <definedName name="proyectofortalecimientoinstitucional">#REF!</definedName>
    <definedName name="Proyectombf" localSheetId="2">#REF!</definedName>
    <definedName name="Proyectombf">#REF!</definedName>
    <definedName name="proyectomisionbogotacapacitacion" localSheetId="2">#REF!</definedName>
    <definedName name="proyectomisionbogotacapacitacion">#REF!</definedName>
    <definedName name="proyectoplazasdemercado" localSheetId="2">#REF!</definedName>
    <definedName name="proyectoplazasdemercado">#REF!</definedName>
    <definedName name="proyectoplazasyvendedoresinformales" localSheetId="2">#REF!</definedName>
    <definedName name="proyectoplazasyvendedoresinformales">#REF!</definedName>
    <definedName name="proyectovendedoresinformales" localSheetId="2">#REF!</definedName>
    <definedName name="proyectovendedoresinformales">#REF!</definedName>
    <definedName name="Proyectplazas2" localSheetId="2">#REF!</definedName>
    <definedName name="Proyectplazas2">#REF!</definedName>
    <definedName name="proyectvendedores" localSheetId="2">#REF!</definedName>
    <definedName name="proyectvendedores">#REF!</definedName>
    <definedName name="proymbcapacitacion" localSheetId="2">#REF!</definedName>
    <definedName name="proymbcapacitacion">#REF!</definedName>
    <definedName name="PUSUARIO" localSheetId="2">#REF!</definedName>
    <definedName name="PUSUARIO">#REF!</definedName>
    <definedName name="q">#REF!</definedName>
    <definedName name="REFERENCIACIÓN" localSheetId="2">#REF!</definedName>
    <definedName name="REFERENCIACIÓN">#REF!</definedName>
    <definedName name="RESOLUCION">[1]Hoja2!$J$2:$J$4</definedName>
    <definedName name="RFinancieros" localSheetId="2">#REF!</definedName>
    <definedName name="RFinancieros">#REF!</definedName>
    <definedName name="s" localSheetId="2">#REF!</definedName>
    <definedName name="s">#REF!</definedName>
    <definedName name="SCI" localSheetId="2">#REF!</definedName>
    <definedName name="SCI">#REF!</definedName>
    <definedName name="serviciospersonales" localSheetId="2">#REF!</definedName>
    <definedName name="serviciospersonales">#REF!</definedName>
    <definedName name="SIG" localSheetId="2">#REF!</definedName>
    <definedName name="SIG">#REF!</definedName>
    <definedName name="t">#REF!</definedName>
    <definedName name="talentohumrefinancieros" localSheetId="2">#REF!</definedName>
    <definedName name="talentohumrefinancieros">#REF!</definedName>
    <definedName name="THumano" localSheetId="2">#REF!</definedName>
    <definedName name="THumano">#REF!</definedName>
    <definedName name="VIGENTE">[1]Hoja2!$F$2:$F$3</definedName>
    <definedName name="w">#REF!</definedName>
    <definedName name="xx" localSheetId="2">#REF!</definedName>
    <definedName name="xx">#REF!</definedName>
    <definedName name="y">#REF!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65" i="93" l="1"/>
  <c r="AJ44" i="93"/>
  <c r="AJ23" i="93"/>
  <c r="AF25" i="93"/>
  <c r="AG22" i="93"/>
  <c r="AF22" i="93"/>
  <c r="AG99" i="93"/>
  <c r="AG98" i="93"/>
  <c r="AG96" i="93"/>
  <c r="AG95" i="93"/>
  <c r="AF95" i="93"/>
  <c r="AF97" i="93"/>
  <c r="AG81" i="93"/>
  <c r="AG80" i="93"/>
  <c r="AD80" i="93"/>
  <c r="AG64" i="93"/>
  <c r="AG63" i="93"/>
  <c r="AG62" i="93"/>
  <c r="AF62" i="93"/>
  <c r="AG61" i="93"/>
  <c r="AF61" i="93"/>
  <c r="AF43" i="93"/>
  <c r="AF44" i="93"/>
  <c r="AF42" i="93"/>
  <c r="AF41" i="93"/>
  <c r="AG44" i="93"/>
  <c r="AG42" i="93"/>
  <c r="AG41" i="93"/>
  <c r="AG27" i="93"/>
  <c r="AG25" i="93"/>
  <c r="AG21" i="93"/>
  <c r="AG20" i="93"/>
  <c r="AG19" i="93"/>
  <c r="AJ81" i="93"/>
  <c r="AJ64" i="93"/>
  <c r="AI58" i="93"/>
  <c r="AG97" i="93" l="1"/>
  <c r="AF99" i="93"/>
  <c r="AF65" i="93"/>
  <c r="AF64" i="93"/>
  <c r="AF58" i="93"/>
  <c r="AF27" i="93"/>
  <c r="AF20" i="93"/>
  <c r="AF19" i="93"/>
  <c r="AF96" i="93" l="1"/>
  <c r="AF81" i="93"/>
  <c r="AF80" i="93"/>
  <c r="AG67" i="93"/>
  <c r="AF63" i="93"/>
  <c r="AI41" i="93"/>
  <c r="AI40" i="93"/>
  <c r="AJ62" i="93" l="1"/>
  <c r="AE80" i="93"/>
  <c r="AK22" i="93"/>
  <c r="AJ27" i="93"/>
  <c r="AJ26" i="93"/>
  <c r="AL22" i="93"/>
  <c r="AJ22" i="93"/>
  <c r="AI22" i="93"/>
  <c r="AJ17" i="93"/>
  <c r="Z41" i="93" l="1"/>
  <c r="AB99" i="93"/>
  <c r="AA99" i="93"/>
  <c r="AB98" i="93"/>
  <c r="AA98" i="93"/>
  <c r="AB97" i="93"/>
  <c r="AA97" i="93"/>
  <c r="AB96" i="93"/>
  <c r="AA96" i="93"/>
  <c r="AB95" i="93"/>
  <c r="AA95" i="93"/>
  <c r="AB81" i="93"/>
  <c r="AA81" i="93"/>
  <c r="AB80" i="93"/>
  <c r="AA80" i="93"/>
  <c r="AB64" i="93"/>
  <c r="AA64" i="93"/>
  <c r="AB63" i="93"/>
  <c r="AA63" i="93"/>
  <c r="AA58" i="93"/>
  <c r="AB65" i="93"/>
  <c r="AB62" i="93"/>
  <c r="AA62" i="93"/>
  <c r="AB61" i="93"/>
  <c r="AA61" i="93"/>
  <c r="AB59" i="93"/>
  <c r="AB58" i="93"/>
  <c r="AB44" i="93"/>
  <c r="AA44" i="93"/>
  <c r="AB43" i="93"/>
  <c r="AA43" i="93"/>
  <c r="AB42" i="93"/>
  <c r="AA42" i="93"/>
  <c r="AB41" i="93"/>
  <c r="AA41" i="93"/>
  <c r="AB21" i="93"/>
  <c r="AB27" i="93"/>
  <c r="AA27" i="93"/>
  <c r="AB25" i="93"/>
  <c r="AA25" i="93"/>
  <c r="AA21" i="93"/>
  <c r="AB20" i="93"/>
  <c r="AA20" i="93"/>
  <c r="AB19" i="93"/>
  <c r="AA19" i="93"/>
  <c r="AB18" i="93"/>
  <c r="AA18" i="93"/>
  <c r="AA65" i="93" l="1"/>
  <c r="AF98" i="93" l="1"/>
  <c r="AB67" i="93"/>
  <c r="M67" i="93"/>
  <c r="L67" i="93"/>
  <c r="AF59" i="93"/>
  <c r="AF67" i="93" s="1"/>
  <c r="AF21" i="93"/>
  <c r="AF28" i="93" s="1"/>
  <c r="AI79" i="93"/>
  <c r="AL65" i="93" l="1"/>
  <c r="AK65" i="93"/>
  <c r="AI65" i="93"/>
  <c r="Z80" i="93"/>
  <c r="AJ80" i="93" s="1"/>
  <c r="Y80" i="93"/>
  <c r="AI80" i="93" s="1"/>
  <c r="AI59" i="93"/>
  <c r="AB45" i="93"/>
  <c r="AI18" i="93"/>
  <c r="AB28" i="93"/>
  <c r="Z27" i="93"/>
  <c r="W99" i="93"/>
  <c r="V99" i="93"/>
  <c r="W98" i="93"/>
  <c r="V98" i="93"/>
  <c r="W96" i="93"/>
  <c r="V96" i="93"/>
  <c r="W95" i="93"/>
  <c r="V95" i="93"/>
  <c r="V81" i="93"/>
  <c r="W81" i="93"/>
  <c r="AL81" i="93" s="1"/>
  <c r="W80" i="93"/>
  <c r="AL80" i="93" s="1"/>
  <c r="V80" i="93"/>
  <c r="V59" i="93"/>
  <c r="V58" i="93"/>
  <c r="W64" i="93"/>
  <c r="AL64" i="93" s="1"/>
  <c r="V64" i="93"/>
  <c r="AK64" i="93" s="1"/>
  <c r="W63" i="93"/>
  <c r="AL63" i="93" s="1"/>
  <c r="W62" i="93"/>
  <c r="V62" i="93"/>
  <c r="W61" i="93"/>
  <c r="V61" i="93"/>
  <c r="W60" i="93"/>
  <c r="V60" i="93"/>
  <c r="W59" i="93"/>
  <c r="W58" i="93"/>
  <c r="W44" i="93"/>
  <c r="V44" i="93"/>
  <c r="AK44" i="93" s="1"/>
  <c r="W43" i="93"/>
  <c r="V43" i="93"/>
  <c r="W42" i="93"/>
  <c r="V42" i="93"/>
  <c r="W41" i="93"/>
  <c r="V41" i="93"/>
  <c r="W27" i="93"/>
  <c r="V27" i="93"/>
  <c r="W25" i="93"/>
  <c r="V25" i="93"/>
  <c r="W21" i="93"/>
  <c r="AL21" i="93" s="1"/>
  <c r="V21" i="93"/>
  <c r="AK21" i="93" s="1"/>
  <c r="W20" i="93"/>
  <c r="V20" i="93"/>
  <c r="W19" i="93"/>
  <c r="V19" i="93"/>
  <c r="W18" i="93"/>
  <c r="V18" i="93"/>
  <c r="AJ43" i="93"/>
  <c r="V97" i="93"/>
  <c r="AG100" i="93"/>
  <c r="AF100" i="93"/>
  <c r="AB100" i="93"/>
  <c r="M100" i="93"/>
  <c r="L100" i="93"/>
  <c r="AJ99" i="93"/>
  <c r="AI99" i="93"/>
  <c r="R99" i="93"/>
  <c r="Q99" i="93"/>
  <c r="AK99" i="93" s="1"/>
  <c r="AJ98" i="93"/>
  <c r="AI98" i="93"/>
  <c r="R98" i="93"/>
  <c r="Q98" i="93"/>
  <c r="AJ97" i="93"/>
  <c r="AI97" i="93"/>
  <c r="W97" i="93"/>
  <c r="R97" i="93"/>
  <c r="AL97" i="93" s="1"/>
  <c r="Q97" i="93"/>
  <c r="AJ96" i="93"/>
  <c r="AI96" i="93"/>
  <c r="R96" i="93"/>
  <c r="Q96" i="93"/>
  <c r="AJ95" i="93"/>
  <c r="AI95" i="93"/>
  <c r="AA100" i="93"/>
  <c r="R95" i="93"/>
  <c r="AL95" i="93" s="1"/>
  <c r="Q95" i="93"/>
  <c r="AK95" i="93" s="1"/>
  <c r="AL94" i="93"/>
  <c r="AK94" i="93"/>
  <c r="AJ94" i="93"/>
  <c r="AI94" i="93"/>
  <c r="H94" i="93"/>
  <c r="E94" i="93"/>
  <c r="AG82" i="93"/>
  <c r="AF82" i="93"/>
  <c r="AB82" i="93"/>
  <c r="AA82" i="93"/>
  <c r="R82" i="93"/>
  <c r="Q82" i="93"/>
  <c r="M82" i="93"/>
  <c r="AI81" i="93"/>
  <c r="L81" i="93"/>
  <c r="AK81" i="93" s="1"/>
  <c r="L80" i="93"/>
  <c r="L82" i="93" s="1"/>
  <c r="AL79" i="93"/>
  <c r="AK79" i="93"/>
  <c r="AJ79" i="93"/>
  <c r="H79" i="93"/>
  <c r="E79" i="93"/>
  <c r="AI64" i="93"/>
  <c r="AJ63" i="93"/>
  <c r="AI63" i="93"/>
  <c r="V63" i="93"/>
  <c r="AK63" i="93" s="1"/>
  <c r="AI62" i="93"/>
  <c r="AK62" i="93"/>
  <c r="R62" i="93"/>
  <c r="AL62" i="93" s="1"/>
  <c r="Q62" i="93"/>
  <c r="AJ61" i="93"/>
  <c r="AI61" i="93"/>
  <c r="R61" i="93"/>
  <c r="Q61" i="93"/>
  <c r="AK61" i="93" s="1"/>
  <c r="AJ60" i="93"/>
  <c r="AI60" i="93"/>
  <c r="R60" i="93"/>
  <c r="Q60" i="93"/>
  <c r="AJ59" i="93"/>
  <c r="AA59" i="93"/>
  <c r="AA67" i="93" s="1"/>
  <c r="R59" i="93"/>
  <c r="AL59" i="93" s="1"/>
  <c r="Q59" i="93"/>
  <c r="AJ58" i="93"/>
  <c r="R58" i="93"/>
  <c r="Q58" i="93"/>
  <c r="AK58" i="93" s="1"/>
  <c r="AL57" i="93"/>
  <c r="AK57" i="93"/>
  <c r="AJ57" i="93"/>
  <c r="AI57" i="93"/>
  <c r="H57" i="93"/>
  <c r="E57" i="93"/>
  <c r="AG45" i="93"/>
  <c r="AF45" i="93"/>
  <c r="AA45" i="93"/>
  <c r="M45" i="93"/>
  <c r="L45" i="93"/>
  <c r="AL44" i="93"/>
  <c r="AI44" i="93"/>
  <c r="R43" i="93"/>
  <c r="Q43" i="93"/>
  <c r="AJ42" i="93"/>
  <c r="AI42" i="93"/>
  <c r="R42" i="93"/>
  <c r="AL42" i="93" s="1"/>
  <c r="Q42" i="93"/>
  <c r="AK42" i="93" s="1"/>
  <c r="AJ41" i="93"/>
  <c r="R41" i="93"/>
  <c r="Q41" i="93"/>
  <c r="AL40" i="93"/>
  <c r="AK40" i="93"/>
  <c r="AJ40" i="93"/>
  <c r="H40" i="93"/>
  <c r="E40" i="93"/>
  <c r="AG28" i="93"/>
  <c r="AA28" i="93"/>
  <c r="M28" i="93"/>
  <c r="AI27" i="93"/>
  <c r="R27" i="93"/>
  <c r="Q27" i="93"/>
  <c r="L27" i="93"/>
  <c r="L28" i="93"/>
  <c r="AL26" i="93"/>
  <c r="AK26" i="93"/>
  <c r="AI26" i="93"/>
  <c r="AJ25" i="93"/>
  <c r="AI25" i="93"/>
  <c r="R25" i="93"/>
  <c r="AL25" i="93" s="1"/>
  <c r="Q25" i="93"/>
  <c r="AK25" i="93" s="1"/>
  <c r="AL24" i="93"/>
  <c r="AK24" i="93"/>
  <c r="AJ24" i="93"/>
  <c r="AI24" i="93"/>
  <c r="AL23" i="93"/>
  <c r="AK23" i="93"/>
  <c r="AI23" i="93"/>
  <c r="AJ21" i="93"/>
  <c r="AI21" i="93"/>
  <c r="AJ20" i="93"/>
  <c r="AI20" i="93"/>
  <c r="R20" i="93"/>
  <c r="Q20" i="93"/>
  <c r="AJ19" i="93"/>
  <c r="AI19" i="93"/>
  <c r="R19" i="93"/>
  <c r="AL19" i="93"/>
  <c r="Q19" i="93"/>
  <c r="AK19" i="93"/>
  <c r="AJ18" i="93"/>
  <c r="R18" i="93"/>
  <c r="AL18" i="93" s="1"/>
  <c r="Q18" i="93"/>
  <c r="AK18" i="93" s="1"/>
  <c r="AL17" i="93"/>
  <c r="AK17" i="93"/>
  <c r="AI17" i="93"/>
  <c r="H17" i="93"/>
  <c r="E17" i="93"/>
  <c r="F72" i="53"/>
  <c r="O67" i="53"/>
  <c r="M67" i="53"/>
  <c r="K67" i="53"/>
  <c r="I67" i="53"/>
  <c r="H67" i="53"/>
  <c r="F67" i="53"/>
  <c r="Q66" i="53"/>
  <c r="Q67" i="53" s="1"/>
  <c r="P66" i="53"/>
  <c r="P67" i="53" s="1"/>
  <c r="J66" i="53"/>
  <c r="J67" i="53" s="1"/>
  <c r="O59" i="53"/>
  <c r="M59" i="53"/>
  <c r="K59" i="53"/>
  <c r="I59" i="53"/>
  <c r="H59" i="53"/>
  <c r="F59" i="53"/>
  <c r="Q58" i="53"/>
  <c r="N58" i="53"/>
  <c r="J58" i="53"/>
  <c r="P58" i="53" s="1"/>
  <c r="Q57" i="53"/>
  <c r="Q59" i="53" s="1"/>
  <c r="P57" i="53"/>
  <c r="J57" i="53"/>
  <c r="O50" i="53"/>
  <c r="M50" i="53"/>
  <c r="K50" i="53"/>
  <c r="I50" i="53"/>
  <c r="H50" i="53"/>
  <c r="F50" i="53"/>
  <c r="Q49" i="53"/>
  <c r="J49" i="53"/>
  <c r="P49" i="53" s="1"/>
  <c r="Q48" i="53"/>
  <c r="Q50" i="53" s="1"/>
  <c r="N48" i="53"/>
  <c r="J48" i="53"/>
  <c r="L48" i="53" s="1"/>
  <c r="O40" i="53"/>
  <c r="M40" i="53"/>
  <c r="K40" i="53"/>
  <c r="I40" i="53"/>
  <c r="H40" i="53"/>
  <c r="F40" i="53"/>
  <c r="Q39" i="53"/>
  <c r="J39" i="53"/>
  <c r="P39" i="53" s="1"/>
  <c r="Q38" i="53"/>
  <c r="P38" i="53"/>
  <c r="L38" i="53"/>
  <c r="J38" i="53"/>
  <c r="N38" i="53" s="1"/>
  <c r="R38" i="53" s="1"/>
  <c r="Q37" i="53"/>
  <c r="Q40" i="53" s="1"/>
  <c r="J37" i="53"/>
  <c r="N37" i="53" s="1"/>
  <c r="O36" i="53"/>
  <c r="M36" i="53"/>
  <c r="K36" i="53"/>
  <c r="I36" i="53"/>
  <c r="H36" i="53"/>
  <c r="F36" i="53"/>
  <c r="Q35" i="53"/>
  <c r="J35" i="53"/>
  <c r="P35" i="53" s="1"/>
  <c r="Q34" i="53"/>
  <c r="L34" i="53"/>
  <c r="J34" i="53"/>
  <c r="P34" i="53" s="1"/>
  <c r="Q33" i="53"/>
  <c r="Q36" i="53" s="1"/>
  <c r="J33" i="53"/>
  <c r="J36" i="53" s="1"/>
  <c r="O32" i="53"/>
  <c r="M32" i="53"/>
  <c r="K32" i="53"/>
  <c r="I32" i="53"/>
  <c r="H32" i="53"/>
  <c r="F32" i="53"/>
  <c r="Q31" i="53"/>
  <c r="P31" i="53"/>
  <c r="J31" i="53"/>
  <c r="N31" i="53" s="1"/>
  <c r="Q30" i="53"/>
  <c r="Q32" i="53" s="1"/>
  <c r="J30" i="53"/>
  <c r="L30" i="53" s="1"/>
  <c r="O21" i="53"/>
  <c r="M21" i="53"/>
  <c r="K21" i="53"/>
  <c r="I21" i="53"/>
  <c r="H21" i="53"/>
  <c r="F21" i="53"/>
  <c r="F69" i="53" s="1"/>
  <c r="Q20" i="53"/>
  <c r="J20" i="53"/>
  <c r="N20" i="53" s="1"/>
  <c r="Q19" i="53"/>
  <c r="J19" i="53"/>
  <c r="P19" i="53" s="1"/>
  <c r="Q18" i="53"/>
  <c r="J18" i="53"/>
  <c r="L18" i="53" s="1"/>
  <c r="Q17" i="53"/>
  <c r="J17" i="53"/>
  <c r="L17" i="53" s="1"/>
  <c r="Q16" i="53"/>
  <c r="J16" i="53"/>
  <c r="N16" i="53" s="1"/>
  <c r="B9" i="52"/>
  <c r="C9" i="52" s="1"/>
  <c r="C8" i="52"/>
  <c r="C7" i="52"/>
  <c r="C6" i="52"/>
  <c r="C5" i="52"/>
  <c r="C4" i="52"/>
  <c r="C3" i="52"/>
  <c r="C2" i="52"/>
  <c r="AK97" i="93" l="1"/>
  <c r="AK96" i="93"/>
  <c r="AK100" i="93" s="1"/>
  <c r="AL96" i="93"/>
  <c r="AL27" i="93"/>
  <c r="AL28" i="93" s="1"/>
  <c r="W82" i="93"/>
  <c r="AK20" i="93"/>
  <c r="AL20" i="93"/>
  <c r="AL41" i="93"/>
  <c r="AK59" i="93"/>
  <c r="AK60" i="93"/>
  <c r="AK41" i="93"/>
  <c r="AK98" i="93"/>
  <c r="V82" i="93"/>
  <c r="AL60" i="93"/>
  <c r="AL61" i="93"/>
  <c r="AK43" i="93"/>
  <c r="AK45" i="93" s="1"/>
  <c r="AL99" i="93"/>
  <c r="P59" i="53"/>
  <c r="R28" i="93"/>
  <c r="AK80" i="93"/>
  <c r="AK82" i="93" s="1"/>
  <c r="R45" i="93"/>
  <c r="R67" i="93"/>
  <c r="R100" i="93"/>
  <c r="N18" i="53"/>
  <c r="P20" i="53"/>
  <c r="N33" i="53"/>
  <c r="L37" i="53"/>
  <c r="AK27" i="93"/>
  <c r="P18" i="53"/>
  <c r="R18" i="53" s="1"/>
  <c r="P30" i="53"/>
  <c r="P32" i="53" s="1"/>
  <c r="P33" i="53"/>
  <c r="P37" i="53"/>
  <c r="P40" i="53" s="1"/>
  <c r="L58" i="53"/>
  <c r="R58" i="53" s="1"/>
  <c r="V28" i="93"/>
  <c r="V45" i="93"/>
  <c r="W67" i="93"/>
  <c r="W100" i="93"/>
  <c r="W28" i="93"/>
  <c r="W45" i="93"/>
  <c r="V100" i="93"/>
  <c r="P16" i="53"/>
  <c r="R34" i="53"/>
  <c r="Q28" i="93"/>
  <c r="Q21" i="53"/>
  <c r="Q69" i="53" s="1"/>
  <c r="L19" i="53"/>
  <c r="R19" i="53" s="1"/>
  <c r="L31" i="53"/>
  <c r="R31" i="53" s="1"/>
  <c r="J59" i="53"/>
  <c r="Q45" i="93"/>
  <c r="N19" i="53"/>
  <c r="N34" i="53"/>
  <c r="L57" i="53"/>
  <c r="L59" i="53" s="1"/>
  <c r="N66" i="53"/>
  <c r="N67" i="53" s="1"/>
  <c r="L32" i="53"/>
  <c r="P36" i="53"/>
  <c r="Q100" i="93"/>
  <c r="N30" i="53"/>
  <c r="N32" i="53" s="1"/>
  <c r="L33" i="53"/>
  <c r="P48" i="53"/>
  <c r="P50" i="53" s="1"/>
  <c r="N57" i="53"/>
  <c r="N59" i="53" s="1"/>
  <c r="L66" i="53"/>
  <c r="AL58" i="93"/>
  <c r="N17" i="53"/>
  <c r="R37" i="53"/>
  <c r="L39" i="53"/>
  <c r="L40" i="53" s="1"/>
  <c r="J40" i="53"/>
  <c r="AL43" i="93"/>
  <c r="L16" i="53"/>
  <c r="P17" i="53"/>
  <c r="P21" i="53" s="1"/>
  <c r="L20" i="53"/>
  <c r="R20" i="53" s="1"/>
  <c r="J21" i="53"/>
  <c r="L35" i="53"/>
  <c r="R35" i="53" s="1"/>
  <c r="N39" i="53"/>
  <c r="N40" i="53" s="1"/>
  <c r="L49" i="53"/>
  <c r="J50" i="53"/>
  <c r="V67" i="93"/>
  <c r="J32" i="53"/>
  <c r="N35" i="53"/>
  <c r="N36" i="53" s="1"/>
  <c r="N49" i="53"/>
  <c r="N50" i="53" s="1"/>
  <c r="AL98" i="93"/>
  <c r="Q67" i="93"/>
  <c r="AL82" i="93"/>
  <c r="AK67" i="93" l="1"/>
  <c r="AL45" i="93"/>
  <c r="AK28" i="93"/>
  <c r="AL67" i="93"/>
  <c r="AL100" i="93"/>
  <c r="R17" i="53"/>
  <c r="N21" i="53"/>
  <c r="R49" i="53"/>
  <c r="R57" i="53"/>
  <c r="R59" i="53" s="1"/>
  <c r="T59" i="53" s="1"/>
  <c r="L36" i="53"/>
  <c r="R33" i="53"/>
  <c r="R36" i="53" s="1"/>
  <c r="T36" i="53" s="1"/>
  <c r="R39" i="53"/>
  <c r="R30" i="53"/>
  <c r="R32" i="53" s="1"/>
  <c r="T32" i="53" s="1"/>
  <c r="R40" i="53"/>
  <c r="T40" i="53" s="1"/>
  <c r="L50" i="53"/>
  <c r="L21" i="53"/>
  <c r="R16" i="53"/>
  <c r="R21" i="53" s="1"/>
  <c r="R66" i="53"/>
  <c r="R67" i="53" s="1"/>
  <c r="T67" i="53" s="1"/>
  <c r="L67" i="53"/>
  <c r="R48" i="53"/>
  <c r="R50" i="53" l="1"/>
  <c r="T50" i="53" s="1"/>
  <c r="T21" i="53"/>
  <c r="R69" i="53"/>
  <c r="S69" i="53" s="1"/>
</calcChain>
</file>

<file path=xl/comments1.xml><?xml version="1.0" encoding="utf-8"?>
<comments xmlns="http://schemas.openxmlformats.org/spreadsheetml/2006/main">
  <authors>
    <author>Adriana Gomez Martinez</author>
  </authors>
  <commentList>
    <comment ref="J40" authorId="0" shapeId="0">
      <text>
        <r>
          <rPr>
            <b/>
            <sz val="9"/>
            <color indexed="81"/>
            <rFont val="Tahoma"/>
            <family val="2"/>
          </rPr>
          <t>Adriana Gomez Martinez:</t>
        </r>
        <r>
          <rPr>
            <sz val="9"/>
            <color indexed="81"/>
            <rFont val="Tahoma"/>
            <family val="2"/>
          </rPr>
          <t xml:space="preserve">
</t>
        </r>
      </text>
    </comment>
    <comment ref="J41" authorId="0" shapeId="0">
      <text>
        <r>
          <rPr>
            <b/>
            <sz val="9"/>
            <color indexed="81"/>
            <rFont val="Tahoma"/>
            <family val="2"/>
          </rPr>
          <t>Adriana Gomez Martinez:</t>
        </r>
        <r>
          <rPr>
            <sz val="9"/>
            <color indexed="81"/>
            <rFont val="Tahoma"/>
            <family val="2"/>
          </rPr>
          <t xml:space="preserve">
</t>
        </r>
      </text>
    </comment>
    <comment ref="AI58" authorId="0" shapeId="0">
      <text>
        <r>
          <rPr>
            <b/>
            <sz val="9"/>
            <color indexed="81"/>
            <rFont val="Tahoma"/>
            <family val="2"/>
          </rPr>
          <t>se reprogramo para la meta del cuatrenio la programación del año 2020, de acuerdo con la ejecución.</t>
        </r>
        <r>
          <rPr>
            <sz val="9"/>
            <color indexed="81"/>
            <rFont val="Tahoma"/>
            <family val="2"/>
          </rPr>
          <t xml:space="preserve">
</t>
        </r>
      </text>
    </comment>
    <comment ref="AI60" authorId="0" shapeId="0">
      <text>
        <r>
          <rPr>
            <b/>
            <sz val="9"/>
            <color indexed="81"/>
            <rFont val="Tahoma"/>
            <family val="2"/>
          </rPr>
          <t>Creciente</t>
        </r>
        <r>
          <rPr>
            <sz val="9"/>
            <color indexed="81"/>
            <rFont val="Tahoma"/>
            <family val="2"/>
          </rPr>
          <t xml:space="preserve">
</t>
        </r>
      </text>
    </comment>
    <comment ref="AJ60" authorId="0" shapeId="0">
      <text>
        <r>
          <rPr>
            <b/>
            <sz val="9"/>
            <color indexed="81"/>
            <rFont val="Tahoma"/>
            <family val="2"/>
          </rPr>
          <t>Creciente</t>
        </r>
        <r>
          <rPr>
            <sz val="9"/>
            <color indexed="81"/>
            <rFont val="Tahoma"/>
            <family val="2"/>
          </rPr>
          <t xml:space="preserve">
</t>
        </r>
      </text>
    </comment>
    <comment ref="AI79" authorId="0" shapeId="0">
      <text>
        <r>
          <rPr>
            <b/>
            <sz val="9"/>
            <color indexed="81"/>
            <rFont val="Tahoma"/>
            <family val="2"/>
          </rPr>
          <t>se reprogramo para la meta del cuatrenio la programación del año 2020 y 2021, de acuerdo con la ejecución.</t>
        </r>
        <r>
          <rPr>
            <sz val="9"/>
            <color indexed="81"/>
            <rFont val="Tahoma"/>
            <family val="2"/>
          </rPr>
          <t xml:space="preserve">
</t>
        </r>
      </text>
    </comment>
    <comment ref="AI80" authorId="0" shapeId="0">
      <text>
        <r>
          <rPr>
            <b/>
            <sz val="9"/>
            <color indexed="81"/>
            <rFont val="Tahoma"/>
            <family val="2"/>
          </rPr>
          <t>se reprogramo para la meta del cuatrenio la programación del año 2020 y 2021, de acuerdo con la ejecución.</t>
        </r>
        <r>
          <rPr>
            <sz val="9"/>
            <color indexed="81"/>
            <rFont val="Tahoma"/>
            <family val="2"/>
          </rPr>
          <t xml:space="preserve">
</t>
        </r>
      </text>
    </comment>
    <comment ref="AI81" authorId="0" shapeId="0">
      <text>
        <r>
          <rPr>
            <b/>
            <sz val="11"/>
            <color indexed="81"/>
            <rFont val="Tahoma"/>
            <family val="2"/>
          </rPr>
          <t>Constante</t>
        </r>
        <r>
          <rPr>
            <sz val="9"/>
            <color indexed="81"/>
            <rFont val="Tahoma"/>
            <family val="2"/>
          </rPr>
          <t xml:space="preserve">
</t>
        </r>
      </text>
    </comment>
  </commentList>
</comments>
</file>

<file path=xl/sharedStrings.xml><?xml version="1.0" encoding="utf-8"?>
<sst xmlns="http://schemas.openxmlformats.org/spreadsheetml/2006/main" count="512" uniqueCount="191">
  <si>
    <t>CAJA DE LA VIVIENDA POPULAR</t>
  </si>
  <si>
    <t>01</t>
  </si>
  <si>
    <t>CÓD</t>
  </si>
  <si>
    <t>PROYECTO DE INVERSIÓN</t>
  </si>
  <si>
    <t>MAGNITUD META PROGRAMADA</t>
  </si>
  <si>
    <t>PRESUPUESTO EJECUTADO EN  MILLONES</t>
  </si>
  <si>
    <t>MAGNITUD META</t>
  </si>
  <si>
    <t>MAGNITUD META
PROGRAMADA</t>
  </si>
  <si>
    <t>PRESUPUESTO PROGRAMADO EN  MILLONES</t>
  </si>
  <si>
    <t>Estructurar proyectos en 5 Hectáreas para la construcción de Vivienda de Interés
Prioritario</t>
  </si>
  <si>
    <t>7328</t>
  </si>
  <si>
    <t>3075</t>
  </si>
  <si>
    <t>Reasentamiento de hogares localizados en zonas de alto riesgo no mitigable</t>
  </si>
  <si>
    <t>Fortalecimiento institucional para aumentar la eficiencia de la gestión</t>
  </si>
  <si>
    <t>PLAN DE ACCIÓN - PLAN DE DESARROLLO BOGOTÁ MEJOR PARA TODOS</t>
  </si>
  <si>
    <t>METAS PLAN DE DESARROLLO 2016-2020</t>
  </si>
  <si>
    <t>Pilar: Igualdad de Calidad de Vida</t>
  </si>
  <si>
    <t>04'</t>
  </si>
  <si>
    <t>Programa: Familias Protegidas y Adaptadas al Cambio Climático</t>
  </si>
  <si>
    <t>META
2016-2020</t>
  </si>
  <si>
    <t>Reasentar 4.000 Hogares localizados en zonas de alto riesgo no mitigable</t>
  </si>
  <si>
    <t>02'</t>
  </si>
  <si>
    <t>Pilar: Democracia Urbana</t>
  </si>
  <si>
    <t>Programa: Intervenciones Integrales del Hábitat</t>
  </si>
  <si>
    <t>208</t>
  </si>
  <si>
    <t>Mejoramiento de Barrios</t>
  </si>
  <si>
    <t>Mejoramiento de vivienda en sus condiciones físicas y de habitabilidad en los asentamientos humanos
priorizados en área urbana y rural</t>
  </si>
  <si>
    <t>471</t>
  </si>
  <si>
    <t>Titulación de predios y gestión de urbanizaciones</t>
  </si>
  <si>
    <t>Obtener 10.000 títulos de Predios</t>
  </si>
  <si>
    <t>Entregar 8 zonas de Cesión</t>
  </si>
  <si>
    <t>Hacer el cierre de 7 Proyectos constructivos  y de urbanismo para  Vivienda VIP</t>
  </si>
  <si>
    <t>07'</t>
  </si>
  <si>
    <t>Eje Transversal: Gobierno legítimo, fortalecimiento local y eficiencia</t>
  </si>
  <si>
    <t>Programa: Transparencia, gestión pública y servicio a la ciudadanía</t>
  </si>
  <si>
    <t>943</t>
  </si>
  <si>
    <t>Fortalecimiento institucional para la transparencia, participación ciudadana, control y responsabilidad
social y anticorrupción</t>
  </si>
  <si>
    <t>Implementar el 100% de plan de acción para la transparencia y las comunicaciones.</t>
  </si>
  <si>
    <t>Implementar el 100%  del plan de acción de Servicio  a la Ciudadanía</t>
  </si>
  <si>
    <t>404</t>
  </si>
  <si>
    <t>Programa: Modernización institucional</t>
  </si>
  <si>
    <t>Ejecutar el 100% del plan de acción para la implementación del Sistema Integrado de Gestión de la CVP.</t>
  </si>
  <si>
    <t>Garantizar el 100 % de los servicios de apoyo y desarrollo institucional para el buen funcionamiento de la Entidad  de acuerdo al plan de acción.</t>
  </si>
  <si>
    <t>Programa:Gobierno y ciudadanía digital</t>
  </si>
  <si>
    <t>1174</t>
  </si>
  <si>
    <t>Fortalecimiento de las tecnologías de información y la comunicación</t>
  </si>
  <si>
    <t>Implementar el 100% Del plan de acción para el fortalecimiento, innovación e integración de los sistemas información.</t>
  </si>
  <si>
    <t xml:space="preserve">Contribuir 100% al Mejoramiento de barrios a través de los  Procesos  Estudios y Diseños   de Infraestructura en Espacios Públicos a escala barrial en los Territorios Priorizados  para la accesibilidad de los ciudadanos a un Hábitat.
</t>
  </si>
  <si>
    <t>Contribuir 100% al Mejoramiento de barrios a través de los Procesos Obras  de Infraestructura en Espacios Públicos a escala barrial en los Territorios Priorizados  para la accesibilidad de los ciudadanos a un Hábitat.</t>
  </si>
  <si>
    <t xml:space="preserve">Realizar 7.600  asistencias técnicas, jurídicas y sociales en las intervenciones integrales de mejoramiento de vivienda priorizadas por la Secretaria Distrital del Hábitat
</t>
  </si>
  <si>
    <t>Realizar 6,800  visitas para supervisar la interventorías de las obras de Mejoramiento de Vivienda, priorizadas por la Secretaria Distrital del Hábitat</t>
  </si>
  <si>
    <t>Realizar 300 asistencias técnicas, jurídicas y sociales a los predios localizados en unidades de planeamiento zonal (UPZ) de mejoramiento integral o en territorios
priorizados para el trámite de licencias de construcción y/o actos de reconocimiento ante curadurías urbanas.</t>
  </si>
  <si>
    <t>Total 3075</t>
  </si>
  <si>
    <t>Total 208</t>
  </si>
  <si>
    <t>Total 7328</t>
  </si>
  <si>
    <t>Total 471</t>
  </si>
  <si>
    <t>Total 943</t>
  </si>
  <si>
    <t>Total 404</t>
  </si>
  <si>
    <t>Total 1174</t>
  </si>
  <si>
    <t>Programada</t>
  </si>
  <si>
    <t>Ejecutada</t>
  </si>
  <si>
    <t>PRESUPUESTO EN  MILLONES</t>
  </si>
  <si>
    <t>Ejecutado</t>
  </si>
  <si>
    <t>Programado</t>
  </si>
  <si>
    <t>COMPONENTE DE INVERSIÓN</t>
  </si>
  <si>
    <t>MAGNITUD META EJECUTADA</t>
  </si>
  <si>
    <t>OBJETIVO GENERAL</t>
  </si>
  <si>
    <t>Garantizar la protección del derecho fundamental a la vida de los hogares ubicados en zonas de alto riesgo no mitigable por fenómenos de remoción en masa, o en condición de riesgo por inundación, desbordamiento, crecientes súbitas o avenidas torrenciales, los cuales se encuentran en situación de alta vulnerabilidad y requieren ser reasentados a una alternativa habitacional legal y económicamente viable, técnicamente segura y ambientalmente salubre, de igual forma contribuir para que los predios localizados en alto riesgo sean aprovechados para el bienestar de la comunidad y sirvan para prevenir el desarrollo de asentamientos ilegales.</t>
  </si>
  <si>
    <t>Mejorar la Infraestructura en espacios públicos a Escala Barrial en los Territorios priorizados para la accesibilidad de todos los ciudadanos a un Hábitat.</t>
  </si>
  <si>
    <t>Mejorar las condiciones de habitabilidad de las viviendas, mediante la asistencia técnica, social y financiera realizada a los ciudadanos de estratos 1 y 2 de Bogotá, tanto para la operación del subsidio distrital de vivienda en especie en zona urbana y rural, así como para la obtención de licencias de construcción y/o actos reconocimiento, con el fin de garantizar el derecho a una vivienda digna.</t>
  </si>
  <si>
    <t>Realizar el acompañamiento técnico, jurídico y social a las familias asentadas en predios públicos o privados, ocupados con viviendas de interés social, a través de estrategias y mecanismos de cooperación, con el fin de, cerrar la gestión urbanística, lograr la obtención del título de propiedad y concretar la entrega de zonas de cesión obligatorias; de esta manera facilitar el acceso a los beneficios que otorga la ciudad legal.</t>
  </si>
  <si>
    <t>Fortalecer en la entidad, la cultura de la transparencia, la probidad y ética de lo público, a través de la
implementación de estrategias y acciones que permitan elevar las capacidades de los(as) servidoras en un entorno virtuoso.</t>
  </si>
  <si>
    <t>Fortalecer en la Entidad una cultura orientada a la calidad, a través de la implementación de un Sistema Integrado de Gestión en todos sus componentes y el desarrollo de estrategias de difusión y capacitación que permitan elevar las capacidades de los servidores de la CVP, así como el suministro del equipamiento tecnológico, físico y dotacional necesarios para la ejecución y puesta en funcionamiento de los planes de acción que de allí se deriven</t>
  </si>
  <si>
    <t>Fortalecer, innovar e integrar los sistemas información en la entidad, que permitan tener datos con calidad, oportunidad y confiablidad; garantizando información y comunicación para la toma de decisiones gerenciales, dentro una infraestructura tecnológica adecuada y un soporte integral.</t>
  </si>
  <si>
    <t>TOTAL PPI</t>
  </si>
  <si>
    <t>Diferencias</t>
  </si>
  <si>
    <t>Proyecto</t>
  </si>
  <si>
    <t>2016-2020</t>
  </si>
  <si>
    <t>AJUSTADO</t>
  </si>
  <si>
    <t>DIFERENCIA</t>
  </si>
  <si>
    <t xml:space="preserve">Asignar 1.428 Valor Único de Reconocimiento -VUR- </t>
  </si>
  <si>
    <t xml:space="preserve">Lograr que 2.102 hogares seleccionen vivienda </t>
  </si>
  <si>
    <t xml:space="preserve">Adquirir 370 Predios en Alto Riesgo </t>
  </si>
  <si>
    <t>AJUSTADO CUOTA GLOBAL</t>
  </si>
  <si>
    <t>FECHA DE ACTUALIZACIÓN  13/10/2016 POAI 2017</t>
  </si>
  <si>
    <t>Atender   el 100% de los hogares que se encuentran en relocalización transitoria</t>
  </si>
  <si>
    <t>RESPONSABLE DEL PROYECTO</t>
  </si>
  <si>
    <t>Dirección de Mejoramiento de Barrios</t>
  </si>
  <si>
    <t>Dirección de Mejoramiento de Vivienda</t>
  </si>
  <si>
    <t>INDICADOR</t>
  </si>
  <si>
    <t>Número de predios titulados</t>
  </si>
  <si>
    <t>PLAN DE ACCIÓN - PLAN DE DESARROLLO "UN NUEVO CONTRATO SOCIAL Y AMBIENTAL PARA LA BOGOTÁ DEL SIGLO XXI"</t>
  </si>
  <si>
    <t>METAS PLAN DE DESARROLLO 2020 - 2024</t>
  </si>
  <si>
    <t xml:space="preserve">PROPÓSITO: </t>
  </si>
  <si>
    <t xml:space="preserve">PROGRAMA: </t>
  </si>
  <si>
    <t>Sistema Distrital de Cuidado</t>
  </si>
  <si>
    <t>Hacer un nuevo contrato social con igualdad de oportunidades para la inclusión social, productiva y política</t>
  </si>
  <si>
    <t>PROYECTO ESTRATÉGICO:</t>
  </si>
  <si>
    <t>7680</t>
  </si>
  <si>
    <t>IMPLEMENTACIÓN DEL PLAN TERRAZAS, COMO VEHÍCULO DEL CONTRATO SOCIAL DE LA BOGOTÁ DEL SIGLO XXI, PARA EL MEJORAMIENTO Y LA CONSTRUCCIÓN DE VIVIENDA NUEVA EN SITIO PROPIO</t>
  </si>
  <si>
    <t>META
2020 -2024</t>
  </si>
  <si>
    <t>PROGRAMADO PLAN "UN NUEVO CONTRATO SOCIAL Y AMBIENTAL PARA LA BOGOTÁ DEL SIGLO XXI"</t>
  </si>
  <si>
    <t xml:space="preserve">Total </t>
  </si>
  <si>
    <t>Porcentaje de avance en la implementación del proyecto piloto "Plan Terrazas"</t>
  </si>
  <si>
    <t>Estructurar 1250 proyectos que desarrollen un esquema de solución habitacional "Plan Terrazas", con los componentes técnico, social, jurídico y financiero para determinar la viabilidad del predio y el hogar por modalidad de intervención (habitabilidad, reforzamiento, construcción en sitio propio).</t>
  </si>
  <si>
    <t>Ejecutar 1250 intervenciones en desarrollo del proyecto piloto del Plan Terrazas para el mejoramiento de vivienda y el apoyo social requerido por la población para mejorar sus condiciones habitacionales con la supervisión e interventoría requerida para este tipo de proyectos</t>
  </si>
  <si>
    <t>Número de predios intervenidos en el proyecto piloto del Plan Terrazas</t>
  </si>
  <si>
    <t>Curaduría social implementada como parte de la estructura misional de la CVP</t>
  </si>
  <si>
    <t>Expedir 1500 actos de reconocimiento de viviendas de interés social en barrios legalizados urbanísticamente, a través de la Curaduría pública social definida en la estructura misional de la CVP</t>
  </si>
  <si>
    <t>Número de actos de reconocimiento expedidos</t>
  </si>
  <si>
    <t>Porcentaje de avance en la implementación del Banco de materiales</t>
  </si>
  <si>
    <t>Implementar el 100% del banco de materiales como un instrumento de soporte técnico y financiero para la ejecución del proyecto piloto del Plan Terrazas que contribuya a mejorar la calidad de los materiales y disminuir los costos de transacción</t>
  </si>
  <si>
    <t>Hacer un nuevo contrato social con igualdad de oportunidades para la inclusión social, productiva y política.</t>
  </si>
  <si>
    <t>Sistema Distrital de cuidado</t>
  </si>
  <si>
    <t>7684</t>
  </si>
  <si>
    <t>Titulación de predios estratos 1 y 2 y saneamiento de espacio público en la ciudad Bogotá D.C.</t>
  </si>
  <si>
    <t>Dirección de Urbanización y Titulación</t>
  </si>
  <si>
    <t>Entregar 4 zonas de cesión obligatoria</t>
  </si>
  <si>
    <t>Zonas de cesión entregadas</t>
  </si>
  <si>
    <t>Hacer el cierre de 2 proyectos constructivos y de urbanismo para vivienda VIP</t>
  </si>
  <si>
    <t>Cierre de proyectos constructivos y de urbanismo para vivienda VIP</t>
  </si>
  <si>
    <t>7698</t>
  </si>
  <si>
    <t>Dirección de Reasentamientos</t>
  </si>
  <si>
    <t>Traslado de hogares localizados en zonas de alto riesgo No mitigable o los ordenados mediante sentencias judiciales o actos administrativos. Bogotá.</t>
  </si>
  <si>
    <t>220 - Reasentar 2.150 hogares localizados en zonas de alto riesgo no mitigable mediante las modalidades establecidas en el Decreto 255 de 2013 o la última norma vigente; o los ordenados mediante sentencias judiciales o actos administrativos</t>
  </si>
  <si>
    <t>Número de hogares trasladados</t>
  </si>
  <si>
    <t>Beneficiar 1.223 hogares localizados en zonas de alto riesgo no mitigable o los ordenados mediante sentencias judiciales o actos administrativos, con instrumentos financieros para su reubicación definitiva.</t>
  </si>
  <si>
    <t>Hogares beneficiados con instrumentos financieros para su reubicación definitiva.</t>
  </si>
  <si>
    <t>Asignar 116 instrumentos financieros para la adquisición de predios localizados zonas de alto riesgo no mitigable o los ordenados mediante sentencias judiciales o actos administrativos.</t>
  </si>
  <si>
    <t>Resoluciones de oferta para adquisición de predios.</t>
  </si>
  <si>
    <t>Hogares beneficiados con ayuda en recursos para relocalización transitoria</t>
  </si>
  <si>
    <t>7703</t>
  </si>
  <si>
    <t xml:space="preserve">MEJORAMIENTO INTEGRAL DE BARRIOS CON PARTICIPACIÓN CIUDADANA </t>
  </si>
  <si>
    <t>Espacio público Construido</t>
  </si>
  <si>
    <t>Ejecutar el 100% de la estructuración, formulación y seguimiento del proyecto.</t>
  </si>
  <si>
    <t>Gestión Pública Efectiva</t>
  </si>
  <si>
    <t>Gestión pública efectiva, abierta y transparente</t>
  </si>
  <si>
    <t>7696</t>
  </si>
  <si>
    <t>Fortalecimiento del modelo de gestión institucional y modernización de los sistemas de información de la Caja de la Vivienda Popular</t>
  </si>
  <si>
    <t>Dirección Corporativa</t>
  </si>
  <si>
    <t>Gestión institucional y modelo de gestión de La Caja de la Vivienda Popular, fortalecidos.</t>
  </si>
  <si>
    <t>Fortalecer el 100 % de las dimensiones y políticas del desempeño institucional que integran el Modelo Integrado de Planeación y Gestión de la CVP.</t>
  </si>
  <si>
    <t>Dimensiones y políticas implementadas</t>
  </si>
  <si>
    <t>Garantizar el 100% de los servicios de apoyo y desarrollo institucional requeridos para el buen funcionamiento de la Entidad</t>
  </si>
  <si>
    <t>Servicios de apoyo y desarrollo institucional</t>
  </si>
  <si>
    <t>Aumentar en 15 puntos la calificación del índice de Transparencia de Bogotá 2018-2019, en particular en los ítems "Divulgación de trámites y servicios al ciudadano", "Políticas y medidas anticorrupción", "Control social y participación ciudadana"</t>
  </si>
  <si>
    <t>Calificación del grado de satisfacción de la ciudadanía</t>
  </si>
  <si>
    <t>Renovar y fortalecer el 50% de la infraestructura TIC.</t>
  </si>
  <si>
    <t>Infraestructura TIC</t>
  </si>
  <si>
    <t xml:space="preserve">Implementar un instrumento de política pública distrital de mejoramiento y construcción de vivienda denominado Plan Terrazas.
</t>
  </si>
  <si>
    <t xml:space="preserve">Realizar el acompañamiento técnico, jurídico y social a las familias asentadas VIS o VIP, con el fin de obtener un título de propiedad registrado y concretar la entrega de zonas de cesión obligatorias; facilitando el acceso a una ciudad legal.
</t>
  </si>
  <si>
    <t xml:space="preserve">Disminuir el número de hogares que habitan en predios localizados en zonas de Alto Riesgo no mitigable o los ordenados mediante sentencias judiciales o actos administrativos.
</t>
  </si>
  <si>
    <t xml:space="preserve">Realizar mejoramiento integral de espacio publico en 8 territorios priorizados
</t>
  </si>
  <si>
    <t xml:space="preserve">Fortalecer el modelo de gestión, la infraestructura operacional y los sistemas de información de la Caja de Vivienda Popular
</t>
  </si>
  <si>
    <t xml:space="preserve">Vivienda y entornos dignos en el territorio urbano y rural  </t>
  </si>
  <si>
    <t>LOGRO:</t>
  </si>
  <si>
    <t xml:space="preserve">Aumentar el acceso a vivienda digna, espacio público y equipamientos de la población vulnerable en suelo urbano y rural </t>
  </si>
  <si>
    <t>125. Crear una curaduría pública social.</t>
  </si>
  <si>
    <t>129. Formular e implementar un proyecto piloto que desarrolle un esquema de solución habitacional "Plan Terrazas".</t>
  </si>
  <si>
    <t>124. Crear el Banco Distrital de materiales para la construcción del Plan Terrazas</t>
  </si>
  <si>
    <t xml:space="preserve">Cambiar nuestros hábitos de vida para reverdecer a Bogotá y adaptarnos y mitigar la crisis climática  
</t>
  </si>
  <si>
    <t xml:space="preserve">Intervenir integralmente áreas estratégicas de Bogotá teniendo en cuenta las dinámicas patrimoniales, ambientales, sociales y culturales  
</t>
  </si>
  <si>
    <t xml:space="preserve">Asentamientos y entornos protectores. 
</t>
  </si>
  <si>
    <t>Contruir Bogotá región con gobierno abierto, transparente y ciudadanía consciente</t>
  </si>
  <si>
    <t>133. Realizar mejoramiento integral de barrios con participación ciudadana en 8 territorios priorizados (Puede incluir espacios públicos, malla vial, andenes, alamedas a escala barrial o bandas eléctricas)</t>
  </si>
  <si>
    <t>509. Fortalecer la gestión institucional y el modelo de gestión de la SDHT, CVP y UAESP</t>
  </si>
  <si>
    <t>Articular e implementar el 100.00 % el proceso de arquitectura empresarial de TIC, los sistemas de información de los procesos misionales y administrativos, y el sistema de seguridad de la información.</t>
  </si>
  <si>
    <t>LOGRO</t>
  </si>
  <si>
    <t>PROYECTO ESTRATÉGICO</t>
  </si>
  <si>
    <t>Numero de proyectos estructurados que desarrollan un esquema de solución habitacional "Plan Terrazas"</t>
  </si>
  <si>
    <t>Curaduría Pública Social Creada</t>
  </si>
  <si>
    <t>107.000 m2 de en espacio público en los territorios priorizados para realizar el mejoramiento de barrios en las Upz tipo1.</t>
  </si>
  <si>
    <t>Gestionar el 100% de las actividades del programa de reasentamiento mediante las acciones establecidas en el Decreto 330 de 2020 con el cual “Por el cual se regula el programa de reasentamiento de familias por encontrarse en condiciones de alto riesgo no mitigable en el Distrito Capital y se dictan otras disposiciones.”.</t>
  </si>
  <si>
    <t>Implementar 5.000 acciones administrativas técnicas y sociales que generen condiciones para iniciar las intervenciones del proyecto Piloto Plan Terrazas.</t>
  </si>
  <si>
    <t>26.5%</t>
  </si>
  <si>
    <t xml:space="preserve"> Incrementar la efectividad de la gestión pública distrital y local. </t>
  </si>
  <si>
    <t xml:space="preserve"> Porcentaje de actividades de gestión predial desarrolladas. </t>
  </si>
  <si>
    <t>Entregar y firmar acuerdo para la sostenibilidad de 1250 viviendas mejoradas en el marco de Plan Terrazas</t>
  </si>
  <si>
    <t>Construir 100.000 m2 de en espacio público en los territorios priorizados para realizar el mejoramiento de barrios en las Upz tipo1</t>
  </si>
  <si>
    <t xml:space="preserve">Atender el 100% de la demanda efectiva de hogares localizados en zonas de alto riesgo no mitigable o los ordenados mediante sentencias judiciales o actos administrativos, que cumplan los requisitos para permanecer en la modalidad de Relocalización Transitoria. </t>
  </si>
  <si>
    <t>1,3</t>
  </si>
  <si>
    <t>0,7</t>
  </si>
  <si>
    <t>Beneficiar 497 Nuevos Hogares Localizados En Zonas De Alto Riesgo No Mitigable O Los Ordenados Mediante Sentencias Judiciales O Actos Administrativos,</t>
  </si>
  <si>
    <t>Beneficiar 1749 Hogares Con La Entrega De Viviendas Para Su Reubicación Definitiva</t>
  </si>
  <si>
    <t>Desarrollar el 100 % de actividades de gestión predial encaminadas al saneamiento, la enajenación onerosa, adquisición e intervención de predios con posible afectación a terceros.</t>
  </si>
  <si>
    <t xml:space="preserve">Obtener 3900 Títulos De Predios Registrados
</t>
  </si>
  <si>
    <t xml:space="preserve">134. Titular 3.900 predios registrados en las 20 localidades
</t>
  </si>
  <si>
    <t>Beneficiar 1706 Hogares localizados en zonas de alto riesgo no mitigable o los ordenados mediante sentencias judiciales o actos administrativos, con
instrumentos financieros para relocalizacion transitoria.</t>
  </si>
  <si>
    <t xml:space="preserve">Intervenir el 100% de la demanda de actividades de adecuación preliminar, demarcación y señalización de los predios desocupados en desarrollo del proceso de reasentamientos por alto riesgo no mitigables, acorde a la delegación establecida en el Decreto 555 de 2021 del POT. </t>
  </si>
  <si>
    <t>Estructurar 250 proyectos con apoyo técnico, asesoría técnica para expedición de actos de reconocimiento de la Curaduría Pública Social solicitado por la ciudadanía y los que se requieran para Plan Terrazas.</t>
  </si>
  <si>
    <t>FECHA DE CORTE : 30-ABRIL-2024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</si>
</sst>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5">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quot;$&quot;\ * #,##0.00_-;\-&quot;$&quot;\ * #,##0.00_-;_-&quot;$&quot;\ * &quot;-&quot;??_-;_-@_-"/>
    <numFmt numFmtId="166" formatCode="_-* #,##0.00\ _€_-;\-* #,##0.00\ _€_-;_-* &quot;-&quot;??\ _€_-;_-@_-"/>
    <numFmt numFmtId="167" formatCode="_(&quot;$&quot;\ * #,##0_);_(&quot;$&quot;\ * \(#,##0\);_(&quot;$&quot;\ * &quot;-&quot;_);_(@_)"/>
    <numFmt numFmtId="168" formatCode="_(&quot;$&quot;\ * #,##0.00_);_(&quot;$&quot;\ * \(#,##0.00\);_(&quot;$&quot;\ * &quot;-&quot;??_);_(@_)"/>
    <numFmt numFmtId="169" formatCode="_(* #,##0.00_);_(* \(#,##0.00\);_(* &quot;-&quot;??_);_(@_)"/>
    <numFmt numFmtId="170" formatCode="0.0%"/>
    <numFmt numFmtId="171" formatCode="_(&quot;$&quot;\ * #,##0_);_(&quot;$&quot;\ * \(#,##0\);_(&quot;$&quot;\ * &quot;-&quot;??_);_(@_)"/>
    <numFmt numFmtId="172" formatCode="_ [$€-2]\ * #,##0.00_ ;_ [$€-2]\ * \-#,##0.00_ ;_ [$€-2]\ * &quot;-&quot;??_ "/>
    <numFmt numFmtId="173" formatCode="_(* #,##0_);_(* \(#,##0\);_(* &quot;-&quot;??_);_(@_)"/>
    <numFmt numFmtId="174" formatCode="&quot;$&quot;\ #,##0"/>
    <numFmt numFmtId="175" formatCode="_(* #,##0.0_);_(* \(#,##0.0\);_(* &quot;-&quot;??_);_(@_)"/>
    <numFmt numFmtId="176" formatCode="[$€-2]\ #,##0.00_);[Red]\([$€-2]\ #,##0.00\)"/>
    <numFmt numFmtId="177" formatCode="&quot;$&quot;\ #,##0.00;&quot;$&quot;\ \-#,##0.00"/>
    <numFmt numFmtId="178" formatCode="&quot;$&quot;\ #,##0.00;[Red]&quot;$&quot;\ \-#,##0.00"/>
    <numFmt numFmtId="179" formatCode="_ &quot;$&quot;\ * #,##0.00_ ;_ &quot;$&quot;\ * \-#,##0.00_ ;_ &quot;$&quot;\ * &quot;-&quot;??_ ;_ @_ "/>
    <numFmt numFmtId="180" formatCode="_ * #,##0.00_ ;_ * \-#,##0.00_ ;_ * &quot;-&quot;??_ ;_ @_ "/>
    <numFmt numFmtId="181" formatCode="_(&quot;$&quot;* #,##0.00_);_(&quot;$&quot;* \(#,##0.00\);_(&quot;$&quot;* &quot;-&quot;??_);_(@_)"/>
    <numFmt numFmtId="182" formatCode="_-* #,##0.00\ _P_t_a_-;\-* #,##0.00\ _P_t_a_-;_-* &quot;-&quot;??\ _P_t_a_-;_-@_-"/>
    <numFmt numFmtId="183" formatCode="[$$-80A]#,##0.00"/>
    <numFmt numFmtId="184" formatCode="_-* #,##0.00\ _p_t_a_-;\-* #,##0.00\ _p_t_a_-;_-* &quot;-&quot;??\ _p_t_a_-;_-@_-"/>
    <numFmt numFmtId="185" formatCode="_-* #,##0\ _P_t_a_-;\-* #,##0\ _P_t_a_-;_-* &quot;-&quot;\ _P_t_a_-;_-@_-"/>
    <numFmt numFmtId="186" formatCode="_ [$€]\ * #,##0.00_ ;_ [$€]\ * \-#,##0.00_ ;_ [$€]\ * &quot;-&quot;??_ ;_ @_ "/>
    <numFmt numFmtId="187" formatCode="#,##0.0"/>
    <numFmt numFmtId="188" formatCode="_-[$$-240A]* #,##0_-;\-[$$-240A]* #,##0_-;_-[$$-240A]* &quot;-&quot;??_-;_-@_-"/>
    <numFmt numFmtId="189" formatCode="_-&quot;$&quot;* #,##0_-;\-&quot;$&quot;* #,##0_-;_-&quot;$&quot;* &quot;-&quot;??_-;_-@_-"/>
    <numFmt numFmtId="190" formatCode="_-* #,##0.00_-;\-* #,##0.00_-;_-* &quot;-&quot;_-;_-@_-"/>
    <numFmt numFmtId="191" formatCode="_-* #,##0.0_-;\-* #,##0.0_-;_-* &quot;-&quot;_-;_-@_-"/>
    <numFmt numFmtId="192" formatCode="0.0"/>
    <numFmt numFmtId="193" formatCode="###,000"/>
  </numFmts>
  <fonts count="54" x14ac:knownFonts="1">
    <font>
      <sz val="11"/>
      <color theme="1"/>
      <name val="Calibri"/>
      <family val="2"/>
      <scheme val="minor"/>
    </font>
    <font>
      <sz val="11"/>
      <color indexed="8"/>
      <name val="Calibri"/>
      <family val="2"/>
    </font>
    <font>
      <sz val="11"/>
      <color indexed="8"/>
      <name val="Calibri"/>
      <family val="2"/>
    </font>
    <font>
      <sz val="10"/>
      <name val="Arial"/>
      <family val="2"/>
    </font>
    <font>
      <b/>
      <sz val="10"/>
      <name val="Arial"/>
      <family val="2"/>
    </font>
    <font>
      <sz val="9"/>
      <name val="Arial"/>
      <family val="2"/>
    </font>
    <font>
      <b/>
      <sz val="8"/>
      <name val="Arial"/>
      <family val="2"/>
    </font>
    <font>
      <sz val="11"/>
      <color indexed="8"/>
      <name val="Calibri"/>
      <family val="2"/>
    </font>
    <font>
      <sz val="10"/>
      <name val="Arial"/>
      <family val="2"/>
    </font>
    <font>
      <b/>
      <sz val="9"/>
      <name val="Trebuchet MS"/>
      <family val="2"/>
    </font>
    <font>
      <sz val="11"/>
      <color indexed="9"/>
      <name val="Calibri"/>
      <family val="2"/>
    </font>
    <font>
      <sz val="11"/>
      <color indexed="60"/>
      <name val="Calibri"/>
      <family val="2"/>
    </font>
    <font>
      <b/>
      <sz val="11"/>
      <color indexed="8"/>
      <name val="Calibri"/>
      <family val="2"/>
    </font>
    <font>
      <sz val="10"/>
      <color indexed="8"/>
      <name val="Arial"/>
      <family val="2"/>
    </font>
    <font>
      <sz val="10"/>
      <name val="Arial"/>
      <family val="2"/>
    </font>
    <font>
      <u/>
      <sz val="8.5"/>
      <color indexed="12"/>
      <name val="Arial"/>
      <family val="2"/>
    </font>
    <font>
      <sz val="10"/>
      <name val="MS Sans Serif"/>
      <family val="2"/>
    </font>
    <font>
      <sz val="11"/>
      <color theme="1"/>
      <name val="Calibri"/>
      <family val="2"/>
      <scheme val="minor"/>
    </font>
    <font>
      <sz val="11"/>
      <color theme="0"/>
      <name val="Calibri"/>
      <family val="2"/>
      <scheme val="minor"/>
    </font>
    <font>
      <b/>
      <sz val="11"/>
      <color theme="0"/>
      <name val="Calibri"/>
      <family val="2"/>
      <scheme val="minor"/>
    </font>
    <font>
      <u/>
      <sz val="5"/>
      <color theme="10"/>
      <name val="Arial"/>
      <family val="2"/>
    </font>
    <font>
      <u/>
      <sz val="11"/>
      <color theme="10"/>
      <name val="Calibri"/>
      <family val="2"/>
    </font>
    <font>
      <sz val="11"/>
      <color rgb="FFFF0000"/>
      <name val="Calibri"/>
      <family val="2"/>
      <scheme val="minor"/>
    </font>
    <font>
      <b/>
      <sz val="11"/>
      <color theme="1"/>
      <name val="Calibri"/>
      <family val="2"/>
      <scheme val="minor"/>
    </font>
    <font>
      <b/>
      <sz val="11"/>
      <color theme="2"/>
      <name val="Calibri"/>
      <family val="2"/>
      <scheme val="minor"/>
    </font>
    <font>
      <sz val="11"/>
      <color indexed="8"/>
      <name val="Calibri"/>
      <family val="2"/>
      <scheme val="minor"/>
    </font>
    <font>
      <sz val="10"/>
      <color theme="1"/>
      <name val="Calibri"/>
      <family val="2"/>
      <scheme val="minor"/>
    </font>
    <font>
      <sz val="12"/>
      <color theme="1"/>
      <name val="Calibri"/>
      <family val="2"/>
      <scheme val="minor"/>
    </font>
    <font>
      <sz val="10"/>
      <color theme="1"/>
      <name val="Arial"/>
      <family val="2"/>
    </font>
    <font>
      <b/>
      <sz val="11"/>
      <color indexed="8"/>
      <name val="Calibri"/>
      <family val="2"/>
      <scheme val="minor"/>
    </font>
    <font>
      <b/>
      <sz val="10"/>
      <color theme="1"/>
      <name val="Calibri"/>
      <family val="2"/>
      <scheme val="minor"/>
    </font>
    <font>
      <b/>
      <sz val="12"/>
      <color theme="1"/>
      <name val="Calibri"/>
      <family val="2"/>
      <scheme val="minor"/>
    </font>
    <font>
      <b/>
      <sz val="10"/>
      <color rgb="FFFF0000"/>
      <name val="Calibri"/>
      <family val="2"/>
      <scheme val="minor"/>
    </font>
    <font>
      <b/>
      <sz val="11"/>
      <color theme="2"/>
      <name val="Arial Narrow"/>
      <family val="2"/>
    </font>
    <font>
      <sz val="10"/>
      <name val="Calibri"/>
      <family val="2"/>
      <scheme val="minor"/>
    </font>
    <font>
      <b/>
      <sz val="10"/>
      <name val="Calibri"/>
      <family val="2"/>
      <scheme val="minor"/>
    </font>
    <font>
      <sz val="11"/>
      <name val="Calibri"/>
      <family val="2"/>
      <scheme val="minor"/>
    </font>
    <font>
      <sz val="10"/>
      <name val="Arial"/>
      <family val="2"/>
    </font>
    <font>
      <sz val="11"/>
      <color rgb="FF006100"/>
      <name val="Calibri"/>
      <family val="2"/>
      <scheme val="minor"/>
    </font>
    <font>
      <sz val="10"/>
      <name val="Arial"/>
      <family val="2"/>
    </font>
    <font>
      <sz val="11"/>
      <color rgb="FF9C6500"/>
      <name val="Calibri"/>
      <family val="2"/>
      <scheme val="minor"/>
    </font>
    <font>
      <sz val="10"/>
      <color rgb="FF000000"/>
      <name val="Arial"/>
      <family val="2"/>
    </font>
    <font>
      <sz val="9"/>
      <color indexed="81"/>
      <name val="Tahoma"/>
      <family val="2"/>
    </font>
    <font>
      <b/>
      <sz val="9"/>
      <color indexed="81"/>
      <name val="Tahoma"/>
      <family val="2"/>
    </font>
    <font>
      <b/>
      <sz val="11"/>
      <color indexed="81"/>
      <name val="Tahoma"/>
      <family val="2"/>
    </font>
    <font>
      <sz val="9"/>
      <color rgb="FFFF0000"/>
      <name val="Calibri"/>
      <family val="2"/>
      <scheme val="minor"/>
    </font>
    <font>
      <sz val="9"/>
      <name val="Calibri"/>
      <family val="2"/>
      <scheme val="minor"/>
    </font>
    <font>
      <b/>
      <sz val="8"/>
      <name val="Calibri"/>
      <family val="2"/>
      <scheme val="minor"/>
    </font>
    <font>
      <b/>
      <sz val="9"/>
      <name val="Calibri"/>
      <family val="2"/>
      <scheme val="minor"/>
    </font>
    <font>
      <b/>
      <sz val="10"/>
      <color theme="2"/>
      <name val="Calibri"/>
      <family val="2"/>
      <scheme val="minor"/>
    </font>
    <font>
      <sz val="11"/>
      <color theme="1"/>
      <name val="Arial"/>
      <family val="2"/>
    </font>
    <font>
      <sz val="8"/>
      <color rgb="FF666666"/>
      <name val="Verdana"/>
      <family val="2"/>
    </font>
    <font>
      <b/>
      <sz val="10"/>
      <color theme="1"/>
      <name val="Verdana"/>
      <family val="2"/>
    </font>
    <font>
      <sz val="10"/>
      <color theme="1"/>
      <name val="Verdana"/>
      <family val="2"/>
    </font>
  </fonts>
  <fills count="21">
    <fill>
      <patternFill patternType="none"/>
    </fill>
    <fill>
      <patternFill patternType="gray125"/>
    </fill>
    <fill>
      <patternFill patternType="solid">
        <fgColor indexed="62"/>
      </patternFill>
    </fill>
    <fill>
      <patternFill patternType="solid">
        <fgColor indexed="43"/>
      </patternFill>
    </fill>
    <fill>
      <patternFill patternType="solid">
        <fgColor rgb="FFFFFFCC"/>
      </patternFill>
    </fill>
    <fill>
      <patternFill patternType="solid">
        <fgColor theme="0"/>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7" tint="-0.249977111117893"/>
        <bgColor indexed="64"/>
      </patternFill>
    </fill>
    <fill>
      <patternFill patternType="solid">
        <fgColor theme="6" tint="0.39997558519241921"/>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6EFCE"/>
      </patternFill>
    </fill>
    <fill>
      <patternFill patternType="solid">
        <fgColor rgb="FFFFEB9C"/>
      </patternFill>
    </fill>
    <fill>
      <patternFill patternType="solid">
        <fgColor theme="7" tint="0.79998168889431442"/>
        <bgColor indexed="64"/>
      </patternFill>
    </fill>
    <fill>
      <patternFill patternType="solid">
        <fgColor theme="9" tint="0.39997558519241921"/>
        <bgColor indexed="65"/>
      </patternFill>
    </fill>
    <fill>
      <patternFill patternType="solid">
        <fgColor theme="0"/>
        <bgColor theme="0"/>
      </patternFill>
    </fill>
    <fill>
      <patternFill patternType="solid">
        <fgColor rgb="FFDBE5F1"/>
        <bgColor indexed="64"/>
      </patternFill>
    </fill>
    <fill>
      <patternFill patternType="solid">
        <fgColor rgb="FFF2F2F2"/>
        <bgColor rgb="FFFFFFFF"/>
      </patternFill>
    </fill>
  </fills>
  <borders count="29">
    <border>
      <left/>
      <right/>
      <top/>
      <bottom/>
      <diagonal/>
    </border>
    <border>
      <left/>
      <right/>
      <top style="thin">
        <color indexed="62"/>
      </top>
      <bottom style="double">
        <color indexed="62"/>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rgb="FFB2B2B2"/>
      </left>
      <right style="thin">
        <color rgb="FFB2B2B2"/>
      </right>
      <top style="thin">
        <color rgb="FFB2B2B2"/>
      </top>
      <bottom style="thin">
        <color rgb="FFB2B2B2"/>
      </bottom>
      <diagonal/>
    </border>
    <border>
      <left/>
      <right/>
      <top style="thin">
        <color theme="0"/>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indexed="64"/>
      </left>
      <right style="thin">
        <color theme="0"/>
      </right>
      <top/>
      <bottom/>
      <diagonal/>
    </border>
    <border>
      <left style="thin">
        <color indexed="64"/>
      </left>
      <right style="thin">
        <color theme="0"/>
      </right>
      <top style="thin">
        <color theme="0"/>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indexed="64"/>
      </bottom>
      <diagonal/>
    </border>
    <border>
      <left/>
      <right/>
      <top style="thin">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s>
  <cellStyleXfs count="3786">
    <xf numFmtId="0" fontId="0" fillId="0" borderId="0"/>
    <xf numFmtId="0" fontId="10" fillId="2" borderId="0" applyNumberFormat="0" applyBorder="0" applyAlignment="0" applyProtection="0"/>
    <xf numFmtId="166"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172" fontId="3"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2" fontId="1" fillId="0" borderId="0" applyFont="0" applyFill="0" applyBorder="0" applyAlignment="0" applyProtection="0"/>
    <xf numFmtId="186" fontId="3" fillId="0" borderId="0" applyFont="0" applyFill="0" applyBorder="0" applyAlignment="0" applyProtection="0"/>
    <xf numFmtId="182" fontId="1" fillId="0" borderId="0" applyFont="0" applyFill="0" applyBorder="0" applyAlignment="0" applyProtection="0"/>
    <xf numFmtId="0" fontId="1" fillId="0" borderId="0"/>
    <xf numFmtId="0" fontId="21"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169" fontId="17" fillId="0" borderId="0" applyFont="0" applyFill="0" applyBorder="0" applyAlignment="0" applyProtection="0"/>
    <xf numFmtId="176"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6" fontId="3" fillId="0" borderId="0" applyFont="0" applyFill="0" applyBorder="0" applyAlignment="0" applyProtection="0"/>
    <xf numFmtId="166" fontId="3" fillId="0" borderId="0" applyFont="0" applyFill="0" applyBorder="0" applyAlignment="0" applyProtection="0"/>
    <xf numFmtId="169" fontId="3" fillId="0" borderId="0" applyFont="0" applyFill="0" applyBorder="0" applyAlignment="0" applyProtection="0"/>
    <xf numFmtId="43" fontId="17" fillId="0" borderId="0" applyFont="0" applyFill="0" applyBorder="0" applyAlignment="0" applyProtection="0"/>
    <xf numFmtId="166" fontId="3" fillId="0" borderId="0" applyFont="0" applyFill="0" applyBorder="0" applyAlignment="0" applyProtection="0"/>
    <xf numFmtId="16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9"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81" fontId="3" fillId="0" borderId="0" applyFont="0" applyFill="0" applyBorder="0" applyAlignment="0" applyProtection="0"/>
    <xf numFmtId="166" fontId="2"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67" fontId="3" fillId="0" borderId="0" applyFont="0" applyFill="0" applyBorder="0" applyAlignment="0" applyProtection="0"/>
    <xf numFmtId="168" fontId="17" fillId="0" borderId="0" applyFont="0" applyFill="0" applyBorder="0" applyAlignment="0" applyProtection="0"/>
    <xf numFmtId="168" fontId="3" fillId="0" borderId="0" applyFont="0" applyFill="0" applyBorder="0" applyAlignment="0" applyProtection="0"/>
    <xf numFmtId="168" fontId="17" fillId="0" borderId="0" applyFont="0" applyFill="0" applyBorder="0" applyAlignment="0" applyProtection="0"/>
    <xf numFmtId="168" fontId="3" fillId="0" borderId="0" applyFont="0" applyFill="0" applyBorder="0" applyAlignment="0" applyProtection="0"/>
    <xf numFmtId="168" fontId="1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3" fillId="0" borderId="0" applyFont="0" applyFill="0" applyBorder="0" applyAlignment="0" applyProtection="0"/>
    <xf numFmtId="177" fontId="3" fillId="0" borderId="0" applyFont="0" applyFill="0" applyBorder="0" applyAlignment="0" applyProtection="0"/>
    <xf numFmtId="168" fontId="3" fillId="0" borderId="0" applyFont="0" applyFill="0" applyBorder="0" applyAlignment="0" applyProtection="0"/>
    <xf numFmtId="177" fontId="3" fillId="0" borderId="0" applyFont="0" applyFill="0" applyBorder="0" applyAlignment="0" applyProtection="0"/>
    <xf numFmtId="0"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68" fontId="1" fillId="0" borderId="0" applyFont="0" applyFill="0" applyBorder="0" applyAlignment="0" applyProtection="0"/>
    <xf numFmtId="0" fontId="11" fillId="3" borderId="0" applyNumberFormat="0" applyBorder="0" applyAlignment="0" applyProtection="0"/>
    <xf numFmtId="0" fontId="3" fillId="0" borderId="0"/>
    <xf numFmtId="0" fontId="17" fillId="0" borderId="0"/>
    <xf numFmtId="0" fontId="3" fillId="0" borderId="0"/>
    <xf numFmtId="0" fontId="3" fillId="0" borderId="0"/>
    <xf numFmtId="0" fontId="3" fillId="0" borderId="0" applyNumberFormat="0" applyFont="0" applyFill="0" applyBorder="0" applyAlignment="0" applyProtection="0">
      <alignment vertical="top"/>
    </xf>
    <xf numFmtId="0" fontId="8"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xf numFmtId="0" fontId="16" fillId="0" borderId="0"/>
    <xf numFmtId="0" fontId="3" fillId="0" borderId="0"/>
    <xf numFmtId="0" fontId="17" fillId="0" borderId="0"/>
    <xf numFmtId="0" fontId="17" fillId="0" borderId="0"/>
    <xf numFmtId="0" fontId="3" fillId="0" borderId="0" applyNumberFormat="0" applyFont="0" applyFill="0" applyBorder="0" applyAlignment="0" applyProtection="0">
      <alignment vertical="top"/>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 fillId="0" borderId="0"/>
    <xf numFmtId="0" fontId="3" fillId="0" borderId="0"/>
    <xf numFmtId="0" fontId="3" fillId="0" borderId="0"/>
    <xf numFmtId="0" fontId="17" fillId="0" borderId="0"/>
    <xf numFmtId="0" fontId="17" fillId="0" borderId="0"/>
    <xf numFmtId="0" fontId="3" fillId="0" borderId="0"/>
    <xf numFmtId="0" fontId="3" fillId="0" borderId="0"/>
    <xf numFmtId="0" fontId="17" fillId="0" borderId="0"/>
    <xf numFmtId="0" fontId="17" fillId="0" borderId="0"/>
    <xf numFmtId="0" fontId="3" fillId="0" borderId="0" applyNumberFormat="0" applyFont="0" applyFill="0" applyBorder="0" applyAlignment="0" applyProtection="0">
      <alignment vertical="top"/>
    </xf>
    <xf numFmtId="0" fontId="17" fillId="0" borderId="0"/>
    <xf numFmtId="0" fontId="3" fillId="0" borderId="0" applyNumberFormat="0" applyFont="0" applyFill="0" applyBorder="0" applyAlignment="0" applyProtection="0">
      <alignment vertical="top"/>
    </xf>
    <xf numFmtId="0" fontId="3" fillId="0" borderId="0"/>
    <xf numFmtId="0" fontId="17" fillId="0" borderId="0"/>
    <xf numFmtId="0" fontId="17" fillId="4" borderId="16" applyNumberFormat="0" applyFont="0" applyAlignment="0" applyProtection="0"/>
    <xf numFmtId="9" fontId="7" fillId="0" borderId="0" applyFont="0" applyFill="0" applyBorder="0" applyAlignment="0" applyProtection="0"/>
    <xf numFmtId="9" fontId="3"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 fillId="0" borderId="0" applyFont="0" applyFill="0" applyBorder="0" applyAlignment="0" applyProtection="0"/>
    <xf numFmtId="0" fontId="12" fillId="0" borderId="1" applyNumberFormat="0" applyFill="0" applyAlignment="0" applyProtection="0"/>
    <xf numFmtId="0" fontId="3" fillId="0" borderId="0"/>
    <xf numFmtId="9" fontId="1" fillId="0" borderId="0" applyFont="0" applyFill="0" applyBorder="0" applyAlignment="0" applyProtection="0"/>
    <xf numFmtId="168" fontId="1" fillId="0" borderId="0" applyFont="0" applyFill="0" applyBorder="0" applyAlignment="0" applyProtection="0"/>
    <xf numFmtId="0" fontId="37"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7" fillId="0" borderId="0"/>
    <xf numFmtId="0" fontId="17" fillId="0" borderId="0"/>
    <xf numFmtId="0" fontId="17" fillId="0" borderId="0"/>
    <xf numFmtId="43" fontId="17" fillId="0" borderId="0" applyFont="0" applyFill="0" applyBorder="0" applyAlignment="0" applyProtection="0"/>
    <xf numFmtId="0" fontId="17" fillId="0" borderId="0"/>
    <xf numFmtId="0" fontId="17"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43" fontId="17"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7" fillId="0" borderId="0"/>
    <xf numFmtId="0" fontId="17" fillId="0" borderId="0"/>
    <xf numFmtId="166" fontId="17" fillId="0" borderId="0" applyFont="0" applyFill="0" applyBorder="0" applyAlignment="0" applyProtection="0"/>
    <xf numFmtId="0" fontId="17" fillId="0" borderId="0"/>
    <xf numFmtId="0" fontId="17" fillId="0" borderId="0"/>
    <xf numFmtId="0" fontId="3" fillId="0" borderId="0"/>
    <xf numFmtId="0" fontId="17" fillId="0" borderId="0"/>
    <xf numFmtId="0" fontId="17" fillId="0" borderId="0"/>
    <xf numFmtId="0" fontId="17" fillId="0" borderId="0"/>
    <xf numFmtId="0" fontId="17" fillId="0" borderId="0"/>
    <xf numFmtId="164" fontId="3" fillId="0" borderId="0" applyFont="0" applyFill="0" applyBorder="0" applyAlignment="0" applyProtection="0"/>
    <xf numFmtId="0" fontId="17"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7" fillId="0" borderId="0"/>
    <xf numFmtId="0" fontId="17" fillId="0" borderId="0"/>
    <xf numFmtId="43" fontId="17" fillId="0" borderId="0" applyFont="0" applyFill="0" applyBorder="0" applyAlignment="0" applyProtection="0"/>
    <xf numFmtId="0" fontId="17" fillId="0" borderId="0"/>
    <xf numFmtId="0" fontId="17" fillId="0" borderId="0"/>
    <xf numFmtId="0" fontId="3" fillId="0" borderId="0"/>
    <xf numFmtId="43" fontId="17" fillId="0" borderId="0" applyFont="0" applyFill="0" applyBorder="0" applyAlignment="0" applyProtection="0"/>
    <xf numFmtId="168"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xf numFmtId="9" fontId="17" fillId="0" borderId="0" applyFont="0" applyFill="0" applyBorder="0" applyAlignment="0" applyProtection="0"/>
    <xf numFmtId="0" fontId="17" fillId="0" borderId="0"/>
    <xf numFmtId="0" fontId="17" fillId="0" borderId="0"/>
    <xf numFmtId="166" fontId="17" fillId="0" borderId="0" applyFont="0" applyFill="0" applyBorder="0" applyAlignment="0" applyProtection="0"/>
    <xf numFmtId="0" fontId="17" fillId="0" borderId="0"/>
    <xf numFmtId="0" fontId="17" fillId="0" borderId="0"/>
    <xf numFmtId="0" fontId="3" fillId="0" borderId="0"/>
    <xf numFmtId="0" fontId="3" fillId="0" borderId="0"/>
    <xf numFmtId="0" fontId="17" fillId="0" borderId="0"/>
    <xf numFmtId="0" fontId="17" fillId="0" borderId="0"/>
    <xf numFmtId="0" fontId="17" fillId="0" borderId="0"/>
    <xf numFmtId="0" fontId="17" fillId="0" borderId="0"/>
    <xf numFmtId="164" fontId="3"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41"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0" fontId="16" fillId="0" borderId="0"/>
    <xf numFmtId="0" fontId="16" fillId="0" borderId="0"/>
    <xf numFmtId="0" fontId="3" fillId="0" borderId="0"/>
    <xf numFmtId="0" fontId="17" fillId="0" borderId="0"/>
    <xf numFmtId="0" fontId="16" fillId="0" borderId="0"/>
    <xf numFmtId="43" fontId="17" fillId="0" borderId="0" applyFont="0" applyFill="0" applyBorder="0" applyAlignment="0" applyProtection="0"/>
    <xf numFmtId="43" fontId="17" fillId="0" borderId="0" applyFont="0" applyFill="0" applyBorder="0" applyAlignment="0" applyProtection="0"/>
    <xf numFmtId="9" fontId="3" fillId="0" borderId="0" applyFont="0" applyFill="0" applyBorder="0" applyAlignment="0" applyProtection="0"/>
    <xf numFmtId="168" fontId="17" fillId="0" borderId="0" applyFont="0" applyFill="0" applyBorder="0" applyAlignment="0" applyProtection="0"/>
    <xf numFmtId="43" fontId="17" fillId="0" borderId="0" applyFont="0" applyFill="0" applyBorder="0" applyAlignment="0" applyProtection="0"/>
    <xf numFmtId="41" fontId="3"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0" fontId="17"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3" fillId="0" borderId="0"/>
    <xf numFmtId="0" fontId="10" fillId="2"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9"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177" fontId="3" fillId="0" borderId="0" applyFont="0" applyFill="0" applyBorder="0" applyAlignment="0" applyProtection="0"/>
    <xf numFmtId="0" fontId="11" fillId="3" borderId="0" applyNumberFormat="0" applyBorder="0" applyAlignment="0" applyProtection="0"/>
    <xf numFmtId="168"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12" fillId="0" borderId="1" applyNumberFormat="0" applyFill="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7"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7"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7" fillId="0" borderId="0"/>
    <xf numFmtId="166" fontId="1" fillId="0" borderId="0" applyFont="0" applyFill="0" applyBorder="0" applyAlignment="0" applyProtection="0"/>
    <xf numFmtId="0" fontId="17"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7"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7" fillId="0" borderId="0"/>
    <xf numFmtId="0" fontId="17"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3"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0" fillId="2" borderId="0" applyNumberFormat="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1"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0" fontId="11" fillId="3"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3" fillId="0" borderId="0" applyFont="0" applyFill="0" applyBorder="0" applyAlignment="0" applyProtection="0"/>
    <xf numFmtId="9" fontId="1" fillId="0" borderId="0" applyFont="0" applyFill="0" applyBorder="0" applyAlignment="0" applyProtection="0"/>
    <xf numFmtId="0" fontId="12" fillId="0" borderId="1" applyNumberFormat="0" applyFill="0" applyAlignment="0" applyProtection="0"/>
    <xf numFmtId="164" fontId="3" fillId="0" borderId="0" applyFont="0" applyFill="0" applyBorder="0" applyAlignment="0" applyProtection="0"/>
    <xf numFmtId="43" fontId="17" fillId="0" borderId="0" applyFont="0" applyFill="0" applyBorder="0" applyAlignment="0" applyProtection="0"/>
    <xf numFmtId="168" fontId="3" fillId="0" borderId="0" applyFont="0" applyFill="0" applyBorder="0" applyAlignment="0" applyProtection="0"/>
    <xf numFmtId="168"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43" fontId="17" fillId="0" borderId="0" applyFont="0" applyFill="0" applyBorder="0" applyAlignment="0" applyProtection="0"/>
    <xf numFmtId="168"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43" fontId="17" fillId="0" borderId="0" applyFont="0" applyFill="0" applyBorder="0" applyAlignment="0" applyProtection="0"/>
    <xf numFmtId="168"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43" fontId="17" fillId="0" borderId="0" applyFont="0" applyFill="0" applyBorder="0" applyAlignment="0" applyProtection="0"/>
    <xf numFmtId="168"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43" fontId="1"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4"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3" fillId="0" borderId="0"/>
    <xf numFmtId="0" fontId="16" fillId="0" borderId="0"/>
    <xf numFmtId="0" fontId="16" fillId="0" borderId="0"/>
    <xf numFmtId="168" fontId="17" fillId="0" borderId="0" applyFont="0" applyFill="0" applyBorder="0" applyAlignment="0" applyProtection="0"/>
    <xf numFmtId="0" fontId="3" fillId="0" borderId="0"/>
    <xf numFmtId="41" fontId="17" fillId="0" borderId="0" applyFont="0" applyFill="0" applyBorder="0" applyAlignment="0" applyProtection="0"/>
    <xf numFmtId="0" fontId="17" fillId="0" borderId="0"/>
    <xf numFmtId="0" fontId="39" fillId="0" borderId="0"/>
    <xf numFmtId="0" fontId="38" fillId="14" borderId="0" applyNumberFormat="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40" fillId="15" borderId="0" applyNumberFormat="0" applyBorder="0" applyAlignment="0" applyProtection="0"/>
    <xf numFmtId="0" fontId="3" fillId="0" borderId="0"/>
    <xf numFmtId="0" fontId="17" fillId="0" borderId="0"/>
    <xf numFmtId="0" fontId="17" fillId="0" borderId="0"/>
    <xf numFmtId="0" fontId="17" fillId="0" borderId="0"/>
    <xf numFmtId="0" fontId="1" fillId="4" borderId="16"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1" fontId="3"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1" fontId="17"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180" fontId="3" fillId="0" borderId="0" applyFont="0" applyFill="0" applyBorder="0" applyAlignment="0" applyProtection="0"/>
    <xf numFmtId="0" fontId="41" fillId="0" borderId="0"/>
    <xf numFmtId="164" fontId="41"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41" fontId="4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1" fontId="17"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0" fontId="3" fillId="0" borderId="0"/>
    <xf numFmtId="41"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168" fontId="3" fillId="0" borderId="0" applyFont="0" applyFill="0" applyBorder="0" applyAlignment="0" applyProtection="0"/>
    <xf numFmtId="43" fontId="17" fillId="0" borderId="0" applyFont="0" applyFill="0" applyBorder="0" applyAlignment="0" applyProtection="0"/>
    <xf numFmtId="164" fontId="41" fillId="0" borderId="0" applyFont="0" applyFill="0" applyBorder="0" applyAlignment="0" applyProtection="0"/>
    <xf numFmtId="165" fontId="3" fillId="0" borderId="0" applyFont="0" applyFill="0" applyBorder="0" applyAlignment="0" applyProtection="0"/>
    <xf numFmtId="41" fontId="4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41" fontId="17" fillId="0" borderId="0" applyFont="0" applyFill="0" applyBorder="0" applyAlignment="0" applyProtection="0"/>
    <xf numFmtId="0" fontId="17" fillId="0" borderId="0"/>
    <xf numFmtId="0" fontId="17" fillId="0" borderId="0"/>
    <xf numFmtId="0" fontId="50" fillId="0" borderId="0"/>
    <xf numFmtId="43" fontId="50" fillId="0" borderId="0" applyFont="0" applyFill="0" applyBorder="0" applyAlignment="0" applyProtection="0"/>
    <xf numFmtId="44" fontId="50" fillId="0" borderId="0" applyFont="0" applyFill="0" applyBorder="0" applyAlignment="0" applyProtection="0"/>
    <xf numFmtId="43" fontId="50" fillId="0" borderId="0" applyFont="0" applyFill="0" applyBorder="0" applyAlignment="0" applyProtection="0"/>
    <xf numFmtId="0" fontId="17" fillId="0" borderId="0"/>
    <xf numFmtId="164" fontId="50" fillId="0" borderId="0" applyFon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0" fontId="51" fillId="18" borderId="27" applyNumberFormat="0" applyAlignment="0" applyProtection="0">
      <alignment horizontal="left" vertical="center" indent="1"/>
    </xf>
    <xf numFmtId="0" fontId="52" fillId="19" borderId="0" applyNumberFormat="0" applyBorder="0" applyProtection="0">
      <alignment horizontal="center" vertical="center"/>
    </xf>
    <xf numFmtId="49" fontId="53" fillId="0" borderId="0" applyFill="0" applyBorder="0" applyProtection="0">
      <alignment horizontal="left" vertical="center"/>
    </xf>
    <xf numFmtId="0" fontId="50" fillId="0" borderId="0"/>
    <xf numFmtId="43" fontId="50" fillId="0" borderId="0" applyFont="0" applyFill="0" applyBorder="0" applyAlignment="0" applyProtection="0"/>
    <xf numFmtId="44" fontId="50" fillId="0" borderId="0" applyFont="0" applyFill="0" applyBorder="0" applyAlignment="0" applyProtection="0"/>
    <xf numFmtId="0" fontId="17" fillId="0" borderId="0"/>
    <xf numFmtId="43" fontId="17" fillId="0" borderId="0" applyFont="0" applyFill="0" applyBorder="0" applyAlignment="0" applyProtection="0"/>
    <xf numFmtId="41" fontId="17" fillId="0" borderId="0" applyFont="0" applyFill="0" applyBorder="0" applyAlignment="0" applyProtection="0"/>
    <xf numFmtId="43" fontId="50" fillId="0" borderId="0" applyFont="0" applyFill="0" applyBorder="0" applyAlignment="0" applyProtection="0"/>
    <xf numFmtId="44" fontId="50" fillId="0" borderId="0" applyFont="0" applyFill="0" applyBorder="0" applyAlignment="0" applyProtection="0"/>
    <xf numFmtId="43"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193" fontId="51" fillId="20" borderId="28" applyNumberFormat="0" applyAlignment="0" applyProtection="0">
      <alignment horizontal="left" vertical="center" indent="1"/>
    </xf>
    <xf numFmtId="0" fontId="17" fillId="17" borderId="0" applyNumberFormat="0" applyBorder="0" applyAlignment="0" applyProtection="0"/>
    <xf numFmtId="43" fontId="50" fillId="0" borderId="0" applyFont="0" applyFill="0" applyBorder="0" applyAlignment="0" applyProtection="0"/>
    <xf numFmtId="44" fontId="5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4" fontId="3" fillId="0" borderId="0" applyFont="0" applyFill="0" applyBorder="0" applyAlignment="0" applyProtection="0"/>
    <xf numFmtId="41"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1" fontId="3"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1" fontId="3"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1" fontId="17"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164" fontId="41" fillId="0" borderId="0" applyFont="0" applyFill="0" applyBorder="0" applyAlignment="0" applyProtection="0"/>
    <xf numFmtId="165" fontId="3" fillId="0" borderId="0" applyFont="0" applyFill="0" applyBorder="0" applyAlignment="0" applyProtection="0"/>
    <xf numFmtId="41" fontId="4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1" fontId="17"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4" fontId="41" fillId="0" borderId="0" applyFont="0" applyFill="0" applyBorder="0" applyAlignment="0" applyProtection="0"/>
    <xf numFmtId="165" fontId="3" fillId="0" borderId="0" applyFont="0" applyFill="0" applyBorder="0" applyAlignment="0" applyProtection="0"/>
    <xf numFmtId="41" fontId="4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4" fontId="17" fillId="0" borderId="0" applyFont="0" applyFill="0" applyBorder="0" applyAlignment="0" applyProtection="0"/>
    <xf numFmtId="41" fontId="17"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164" fontId="50" fillId="0" borderId="0" applyFon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43" fontId="50" fillId="0" borderId="0" applyFon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cellStyleXfs>
  <cellXfs count="252">
    <xf numFmtId="0" fontId="0" fillId="0" borderId="0" xfId="0"/>
    <xf numFmtId="0" fontId="4" fillId="0" borderId="2" xfId="106" applyFont="1" applyBorder="1"/>
    <xf numFmtId="0" fontId="4" fillId="0" borderId="0" xfId="106" applyFont="1"/>
    <xf numFmtId="0" fontId="5" fillId="0" borderId="0" xfId="106" applyFont="1"/>
    <xf numFmtId="0" fontId="4" fillId="0" borderId="0" xfId="106" applyFont="1" applyAlignment="1">
      <alignment horizontal="left"/>
    </xf>
    <xf numFmtId="0" fontId="3" fillId="0" borderId="0" xfId="106" applyFont="1"/>
    <xf numFmtId="0" fontId="23" fillId="0" borderId="0" xfId="128" applyFont="1"/>
    <xf numFmtId="0" fontId="17" fillId="0" borderId="0" xfId="128"/>
    <xf numFmtId="0" fontId="23" fillId="0" borderId="0" xfId="128" applyFont="1" applyAlignment="1">
      <alignment horizontal="left"/>
    </xf>
    <xf numFmtId="0" fontId="24" fillId="0" borderId="17" xfId="128" applyFont="1" applyBorder="1"/>
    <xf numFmtId="0" fontId="24" fillId="0" borderId="0" xfId="128" applyFont="1"/>
    <xf numFmtId="0" fontId="24" fillId="0" borderId="17" xfId="128" applyFont="1" applyBorder="1" applyAlignment="1">
      <alignment horizontal="center" vertical="center" wrapText="1"/>
    </xf>
    <xf numFmtId="0" fontId="25" fillId="0" borderId="3" xfId="128" applyFont="1" applyBorder="1" applyAlignment="1">
      <alignment horizontal="justify" vertical="center" wrapText="1"/>
    </xf>
    <xf numFmtId="171" fontId="26" fillId="0" borderId="0" xfId="81" applyNumberFormat="1" applyFont="1" applyFill="1" applyBorder="1"/>
    <xf numFmtId="3" fontId="26" fillId="0" borderId="3" xfId="81" applyNumberFormat="1" applyFont="1" applyFill="1" applyBorder="1" applyAlignment="1">
      <alignment horizontal="center" vertical="center"/>
    </xf>
    <xf numFmtId="0" fontId="27" fillId="0" borderId="0" xfId="128" applyFont="1"/>
    <xf numFmtId="49" fontId="9" fillId="5" borderId="0" xfId="106" applyNumberFormat="1" applyFont="1" applyFill="1" applyAlignment="1">
      <alignment horizontal="center" vertical="center" wrapText="1"/>
    </xf>
    <xf numFmtId="0" fontId="25" fillId="5" borderId="3" xfId="128" applyFont="1" applyFill="1" applyBorder="1" applyAlignment="1">
      <alignment horizontal="justify" vertical="center" wrapText="1"/>
    </xf>
    <xf numFmtId="4" fontId="26" fillId="0" borderId="3" xfId="81" applyNumberFormat="1" applyFont="1" applyFill="1" applyBorder="1" applyAlignment="1">
      <alignment horizontal="center" vertical="center"/>
    </xf>
    <xf numFmtId="3" fontId="26" fillId="0" borderId="3" xfId="81" applyNumberFormat="1" applyFont="1" applyFill="1" applyBorder="1" applyAlignment="1">
      <alignment horizontal="center" vertical="center" wrapText="1"/>
    </xf>
    <xf numFmtId="171" fontId="26" fillId="5" borderId="0" xfId="81" applyNumberFormat="1" applyFont="1" applyFill="1" applyBorder="1"/>
    <xf numFmtId="0" fontId="17" fillId="5" borderId="0" xfId="128" applyFill="1"/>
    <xf numFmtId="0" fontId="23" fillId="0" borderId="3" xfId="128" applyFont="1" applyBorder="1" applyAlignment="1">
      <alignment vertical="center" wrapText="1"/>
    </xf>
    <xf numFmtId="171" fontId="23" fillId="0" borderId="0" xfId="128" applyNumberFormat="1" applyFont="1"/>
    <xf numFmtId="9" fontId="26" fillId="0" borderId="3" xfId="149" applyFont="1" applyFill="1" applyBorder="1" applyAlignment="1">
      <alignment horizontal="center" vertical="center"/>
    </xf>
    <xf numFmtId="171" fontId="26" fillId="0" borderId="3" xfId="80" applyNumberFormat="1" applyFont="1" applyFill="1" applyBorder="1" applyAlignment="1">
      <alignment vertical="center"/>
    </xf>
    <xf numFmtId="171" fontId="26" fillId="0" borderId="3" xfId="88" applyNumberFormat="1" applyFont="1" applyFill="1" applyBorder="1" applyAlignment="1">
      <alignment horizontal="center" vertical="center"/>
    </xf>
    <xf numFmtId="171" fontId="26" fillId="0" borderId="3" xfId="80" applyNumberFormat="1" applyFont="1" applyFill="1" applyBorder="1" applyAlignment="1">
      <alignment horizontal="center" vertical="center"/>
    </xf>
    <xf numFmtId="171" fontId="26" fillId="5" borderId="3" xfId="88" applyNumberFormat="1" applyFont="1" applyFill="1" applyBorder="1" applyAlignment="1">
      <alignment horizontal="center" vertical="center"/>
    </xf>
    <xf numFmtId="171" fontId="26" fillId="5" borderId="3" xfId="80" applyNumberFormat="1" applyFont="1" applyFill="1" applyBorder="1" applyAlignment="1">
      <alignment horizontal="center" vertical="center"/>
    </xf>
    <xf numFmtId="171" fontId="26" fillId="0" borderId="5" xfId="88" applyNumberFormat="1" applyFont="1" applyFill="1" applyBorder="1" applyAlignment="1">
      <alignment horizontal="center" vertical="center"/>
    </xf>
    <xf numFmtId="0" fontId="23" fillId="0" borderId="0" xfId="128" applyFont="1" applyAlignment="1">
      <alignment vertical="center"/>
    </xf>
    <xf numFmtId="171" fontId="26" fillId="0" borderId="3" xfId="88" applyNumberFormat="1" applyFont="1" applyFill="1" applyBorder="1" applyAlignment="1">
      <alignment vertical="center"/>
    </xf>
    <xf numFmtId="171" fontId="26" fillId="5" borderId="3" xfId="88" applyNumberFormat="1" applyFont="1" applyFill="1" applyBorder="1" applyAlignment="1">
      <alignment vertical="center"/>
    </xf>
    <xf numFmtId="171" fontId="26" fillId="5" borderId="3" xfId="80" applyNumberFormat="1" applyFont="1" applyFill="1" applyBorder="1" applyAlignment="1">
      <alignment vertical="center"/>
    </xf>
    <xf numFmtId="0" fontId="28" fillId="0" borderId="3" xfId="0" applyFont="1" applyBorder="1" applyAlignment="1">
      <alignment horizontal="left" vertical="center" wrapText="1"/>
    </xf>
    <xf numFmtId="49" fontId="9" fillId="6" borderId="3" xfId="106" applyNumberFormat="1" applyFont="1" applyFill="1" applyBorder="1" applyAlignment="1">
      <alignment vertical="center" wrapText="1"/>
    </xf>
    <xf numFmtId="0" fontId="29" fillId="0" borderId="3" xfId="128" applyFont="1" applyBorder="1" applyAlignment="1">
      <alignment horizontal="justify" vertical="center" wrapText="1"/>
    </xf>
    <xf numFmtId="171" fontId="30" fillId="0" borderId="0" xfId="81" applyNumberFormat="1" applyFont="1" applyFill="1" applyBorder="1"/>
    <xf numFmtId="3" fontId="30" fillId="0" borderId="3" xfId="81" applyNumberFormat="1" applyFont="1" applyFill="1" applyBorder="1" applyAlignment="1">
      <alignment horizontal="center" vertical="center"/>
    </xf>
    <xf numFmtId="171" fontId="30" fillId="0" borderId="3" xfId="80" applyNumberFormat="1" applyFont="1" applyFill="1" applyBorder="1" applyAlignment="1">
      <alignment horizontal="center" vertical="center"/>
    </xf>
    <xf numFmtId="0" fontId="31" fillId="0" borderId="0" xfId="128" applyFont="1"/>
    <xf numFmtId="49" fontId="9" fillId="7" borderId="5" xfId="106" applyNumberFormat="1" applyFont="1" applyFill="1" applyBorder="1" applyAlignment="1">
      <alignment horizontal="center" vertical="center" wrapText="1"/>
    </xf>
    <xf numFmtId="0" fontId="29" fillId="5" borderId="3" xfId="128" applyFont="1" applyFill="1" applyBorder="1" applyAlignment="1">
      <alignment horizontal="justify" vertical="center" wrapText="1"/>
    </xf>
    <xf numFmtId="171" fontId="30" fillId="0" borderId="3" xfId="88" applyNumberFormat="1" applyFont="1" applyFill="1" applyBorder="1" applyAlignment="1">
      <alignment horizontal="center" vertical="center"/>
    </xf>
    <xf numFmtId="171" fontId="30" fillId="5" borderId="0" xfId="81" applyNumberFormat="1" applyFont="1" applyFill="1" applyBorder="1"/>
    <xf numFmtId="171" fontId="30" fillId="5" borderId="3" xfId="88" applyNumberFormat="1" applyFont="1" applyFill="1" applyBorder="1" applyAlignment="1">
      <alignment horizontal="center" vertical="center"/>
    </xf>
    <xf numFmtId="0" fontId="23" fillId="5" borderId="0" xfId="128" applyFont="1" applyFill="1"/>
    <xf numFmtId="0" fontId="23" fillId="0" borderId="3" xfId="128" applyFont="1" applyBorder="1"/>
    <xf numFmtId="0" fontId="23" fillId="0" borderId="3" xfId="128" applyFont="1" applyBorder="1" applyAlignment="1">
      <alignment horizontal="center"/>
    </xf>
    <xf numFmtId="0" fontId="23" fillId="0" borderId="0" xfId="128" applyFont="1" applyAlignment="1">
      <alignment horizontal="center"/>
    </xf>
    <xf numFmtId="0" fontId="29" fillId="5" borderId="0" xfId="128" applyFont="1" applyFill="1" applyAlignment="1">
      <alignment horizontal="justify" vertical="center" wrapText="1"/>
    </xf>
    <xf numFmtId="171" fontId="30" fillId="0" borderId="0" xfId="80" applyNumberFormat="1" applyFont="1" applyFill="1" applyBorder="1" applyAlignment="1">
      <alignment horizontal="center" vertical="center"/>
    </xf>
    <xf numFmtId="171" fontId="30" fillId="0" borderId="0" xfId="80" applyNumberFormat="1" applyFont="1" applyFill="1" applyBorder="1" applyAlignment="1">
      <alignment vertical="center"/>
    </xf>
    <xf numFmtId="171" fontId="32" fillId="0" borderId="0" xfId="80" applyNumberFormat="1" applyFont="1" applyFill="1" applyBorder="1" applyAlignment="1">
      <alignment horizontal="center" vertical="center"/>
    </xf>
    <xf numFmtId="171" fontId="26" fillId="0" borderId="4" xfId="80" applyNumberFormat="1" applyFont="1" applyFill="1" applyBorder="1" applyAlignment="1">
      <alignment horizontal="center" vertical="center"/>
    </xf>
    <xf numFmtId="171" fontId="34" fillId="0" borderId="3" xfId="80" applyNumberFormat="1" applyFont="1" applyFill="1" applyBorder="1" applyAlignment="1">
      <alignment vertical="center"/>
    </xf>
    <xf numFmtId="171" fontId="34" fillId="0" borderId="3" xfId="80" applyNumberFormat="1" applyFont="1" applyFill="1" applyBorder="1" applyAlignment="1">
      <alignment horizontal="center" vertical="center"/>
    </xf>
    <xf numFmtId="171" fontId="35" fillId="0" borderId="3" xfId="80" applyNumberFormat="1" applyFont="1" applyFill="1" applyBorder="1" applyAlignment="1">
      <alignment horizontal="center" vertical="center"/>
    </xf>
    <xf numFmtId="0" fontId="23" fillId="0" borderId="4" xfId="128" applyFont="1" applyBorder="1" applyAlignment="1">
      <alignment vertical="center" wrapText="1"/>
    </xf>
    <xf numFmtId="0" fontId="23" fillId="0" borderId="5" xfId="128" applyFont="1" applyBorder="1" applyAlignment="1">
      <alignment horizontal="center" vertical="center" wrapText="1"/>
    </xf>
    <xf numFmtId="0" fontId="24" fillId="8" borderId="3" xfId="128" applyFont="1" applyFill="1" applyBorder="1" applyAlignment="1">
      <alignment horizontal="center" vertical="center" wrapText="1"/>
    </xf>
    <xf numFmtId="0" fontId="23" fillId="0" borderId="3" xfId="128" applyFont="1" applyBorder="1" applyAlignment="1">
      <alignment horizontal="center" vertical="center" wrapText="1"/>
    </xf>
    <xf numFmtId="49" fontId="9" fillId="9" borderId="6" xfId="106" applyNumberFormat="1" applyFont="1" applyFill="1" applyBorder="1" applyAlignment="1">
      <alignment horizontal="center" vertical="center" wrapText="1"/>
    </xf>
    <xf numFmtId="0" fontId="23" fillId="5" borderId="6" xfId="128" applyFont="1" applyFill="1" applyBorder="1" applyAlignment="1">
      <alignment horizontal="center" vertical="center" wrapText="1"/>
    </xf>
    <xf numFmtId="173" fontId="17" fillId="0" borderId="0" xfId="24" applyNumberFormat="1" applyBorder="1"/>
    <xf numFmtId="171" fontId="17" fillId="0" borderId="0" xfId="128" applyNumberFormat="1"/>
    <xf numFmtId="0" fontId="23" fillId="0" borderId="3" xfId="0" applyFont="1" applyBorder="1"/>
    <xf numFmtId="0" fontId="0" fillId="0" borderId="3" xfId="0" applyBorder="1"/>
    <xf numFmtId="171" fontId="0" fillId="0" borderId="3" xfId="0" applyNumberFormat="1" applyBorder="1"/>
    <xf numFmtId="171" fontId="23" fillId="0" borderId="3" xfId="0" applyNumberFormat="1" applyFont="1" applyBorder="1"/>
    <xf numFmtId="171" fontId="30" fillId="10" borderId="3" xfId="80" applyNumberFormat="1" applyFont="1" applyFill="1" applyBorder="1" applyAlignment="1">
      <alignment horizontal="center" vertical="center"/>
    </xf>
    <xf numFmtId="0" fontId="24" fillId="0" borderId="3" xfId="128" applyFont="1" applyBorder="1"/>
    <xf numFmtId="0" fontId="24" fillId="0" borderId="3" xfId="128" applyFont="1" applyBorder="1" applyAlignment="1">
      <alignment horizontal="center" vertical="center" wrapText="1"/>
    </xf>
    <xf numFmtId="0" fontId="27" fillId="0" borderId="3" xfId="128" applyFont="1" applyBorder="1"/>
    <xf numFmtId="0" fontId="17" fillId="0" borderId="3" xfId="128" applyBorder="1"/>
    <xf numFmtId="0" fontId="31" fillId="0" borderId="3" xfId="128" applyFont="1" applyBorder="1"/>
    <xf numFmtId="0" fontId="27" fillId="5" borderId="3" xfId="128" applyFont="1" applyFill="1" applyBorder="1"/>
    <xf numFmtId="0" fontId="31" fillId="5" borderId="3" xfId="128" applyFont="1" applyFill="1" applyBorder="1"/>
    <xf numFmtId="171" fontId="30" fillId="0" borderId="3" xfId="80" applyNumberFormat="1" applyFont="1" applyFill="1" applyBorder="1" applyAlignment="1">
      <alignment vertical="center"/>
    </xf>
    <xf numFmtId="171" fontId="17" fillId="11" borderId="0" xfId="128" applyNumberFormat="1" applyFill="1"/>
    <xf numFmtId="171" fontId="23" fillId="11" borderId="0" xfId="128" applyNumberFormat="1" applyFont="1" applyFill="1"/>
    <xf numFmtId="3" fontId="34" fillId="0" borderId="3" xfId="81" applyNumberFormat="1" applyFont="1" applyFill="1" applyBorder="1" applyAlignment="1">
      <alignment horizontal="center" vertical="center"/>
    </xf>
    <xf numFmtId="0" fontId="18" fillId="0" borderId="0" xfId="128" applyFont="1"/>
    <xf numFmtId="0" fontId="22" fillId="0" borderId="0" xfId="128" applyFont="1"/>
    <xf numFmtId="3" fontId="32" fillId="0" borderId="3" xfId="81" applyNumberFormat="1" applyFont="1" applyFill="1" applyBorder="1" applyAlignment="1">
      <alignment horizontal="center" vertical="center"/>
    </xf>
    <xf numFmtId="173" fontId="22" fillId="0" borderId="0" xfId="24" applyNumberFormat="1" applyFont="1" applyBorder="1"/>
    <xf numFmtId="0" fontId="36" fillId="0" borderId="0" xfId="128" applyFont="1"/>
    <xf numFmtId="3" fontId="26" fillId="0" borderId="4" xfId="81" applyNumberFormat="1" applyFont="1" applyFill="1" applyBorder="1" applyAlignment="1">
      <alignment horizontal="center" vertical="center"/>
    </xf>
    <xf numFmtId="9" fontId="34" fillId="0" borderId="3" xfId="149" applyFont="1" applyFill="1" applyBorder="1" applyAlignment="1">
      <alignment horizontal="center" vertical="center"/>
    </xf>
    <xf numFmtId="0" fontId="23" fillId="0" borderId="0" xfId="128" applyFont="1" applyAlignment="1">
      <alignment vertical="center" wrapText="1"/>
    </xf>
    <xf numFmtId="0" fontId="23" fillId="0" borderId="0" xfId="128" applyFont="1" applyAlignment="1">
      <alignment wrapText="1"/>
    </xf>
    <xf numFmtId="9" fontId="26" fillId="16" borderId="4" xfId="149" applyFont="1" applyFill="1" applyBorder="1" applyAlignment="1">
      <alignment horizontal="center" vertical="center"/>
    </xf>
    <xf numFmtId="3" fontId="26" fillId="16" borderId="4" xfId="81" applyNumberFormat="1" applyFont="1" applyFill="1" applyBorder="1" applyAlignment="1">
      <alignment horizontal="center" vertical="center"/>
    </xf>
    <xf numFmtId="171" fontId="26" fillId="16" borderId="3" xfId="80" applyNumberFormat="1" applyFont="1" applyFill="1" applyBorder="1" applyAlignment="1">
      <alignment horizontal="center" vertical="center"/>
    </xf>
    <xf numFmtId="0" fontId="27" fillId="16" borderId="0" xfId="128" applyFont="1" applyFill="1"/>
    <xf numFmtId="9" fontId="26" fillId="16" borderId="3" xfId="149" applyFont="1" applyFill="1" applyBorder="1" applyAlignment="1">
      <alignment horizontal="center" vertical="center"/>
    </xf>
    <xf numFmtId="0" fontId="36" fillId="16" borderId="0" xfId="128" applyFont="1" applyFill="1"/>
    <xf numFmtId="9" fontId="34" fillId="16" borderId="3" xfId="149" applyFont="1" applyFill="1" applyBorder="1" applyAlignment="1">
      <alignment horizontal="center" vertical="center"/>
    </xf>
    <xf numFmtId="171" fontId="34" fillId="16" borderId="3" xfId="80" applyNumberFormat="1" applyFont="1" applyFill="1" applyBorder="1" applyAlignment="1">
      <alignment vertical="center"/>
    </xf>
    <xf numFmtId="0" fontId="25" fillId="16" borderId="3" xfId="128" applyFont="1" applyFill="1" applyBorder="1" applyAlignment="1">
      <alignment horizontal="justify" vertical="center" wrapText="1"/>
    </xf>
    <xf numFmtId="0" fontId="23" fillId="0" borderId="0" xfId="128" applyFont="1" applyAlignment="1">
      <alignment horizontal="center" vertical="center"/>
    </xf>
    <xf numFmtId="0" fontId="17" fillId="0" borderId="0" xfId="128" applyAlignment="1">
      <alignment horizontal="center"/>
    </xf>
    <xf numFmtId="3" fontId="26" fillId="16" borderId="3" xfId="81" applyNumberFormat="1" applyFont="1" applyFill="1" applyBorder="1" applyAlignment="1">
      <alignment horizontal="center" vertical="center"/>
    </xf>
    <xf numFmtId="3" fontId="34" fillId="16" borderId="3" xfId="81" applyNumberFormat="1" applyFont="1" applyFill="1" applyBorder="1" applyAlignment="1">
      <alignment horizontal="center" vertical="center"/>
    </xf>
    <xf numFmtId="187" fontId="26" fillId="0" borderId="4" xfId="81" applyNumberFormat="1" applyFont="1" applyFill="1" applyBorder="1" applyAlignment="1">
      <alignment horizontal="center" vertical="center"/>
    </xf>
    <xf numFmtId="187" fontId="26" fillId="16" borderId="4" xfId="81" applyNumberFormat="1" applyFont="1" applyFill="1" applyBorder="1" applyAlignment="1">
      <alignment horizontal="center" vertical="center"/>
    </xf>
    <xf numFmtId="170" fontId="34" fillId="0" borderId="3" xfId="149" applyNumberFormat="1" applyFont="1" applyFill="1" applyBorder="1" applyAlignment="1">
      <alignment horizontal="center" vertical="center"/>
    </xf>
    <xf numFmtId="188" fontId="30" fillId="0" borderId="3" xfId="80" applyNumberFormat="1" applyFont="1" applyFill="1" applyBorder="1" applyAlignment="1">
      <alignment horizontal="center" vertical="center"/>
    </xf>
    <xf numFmtId="189" fontId="26" fillId="16" borderId="4" xfId="3515" applyNumberFormat="1" applyFont="1" applyFill="1" applyBorder="1" applyAlignment="1">
      <alignment horizontal="center" vertical="center"/>
    </xf>
    <xf numFmtId="189" fontId="26" fillId="0" borderId="3" xfId="3515" applyNumberFormat="1" applyFont="1" applyFill="1" applyBorder="1" applyAlignment="1">
      <alignment horizontal="center" vertical="center"/>
    </xf>
    <xf numFmtId="189" fontId="30" fillId="0" borderId="3" xfId="3515" applyNumberFormat="1" applyFont="1" applyFill="1" applyBorder="1" applyAlignment="1">
      <alignment horizontal="center" vertical="center"/>
    </xf>
    <xf numFmtId="189" fontId="26" fillId="0" borderId="4" xfId="3515" applyNumberFormat="1" applyFont="1" applyFill="1" applyBorder="1" applyAlignment="1">
      <alignment horizontal="center" vertical="center"/>
    </xf>
    <xf numFmtId="189" fontId="26" fillId="16" borderId="3" xfId="3515" applyNumberFormat="1" applyFont="1" applyFill="1" applyBorder="1" applyAlignment="1">
      <alignment horizontal="center" vertical="center"/>
    </xf>
    <xf numFmtId="189" fontId="18" fillId="0" borderId="0" xfId="3515" applyNumberFormat="1" applyFont="1"/>
    <xf numFmtId="169" fontId="26" fillId="0" borderId="3" xfId="24" applyFont="1" applyFill="1" applyBorder="1" applyAlignment="1">
      <alignment horizontal="center" vertical="center"/>
    </xf>
    <xf numFmtId="169" fontId="34" fillId="0" borderId="3" xfId="24" applyFont="1" applyFill="1" applyBorder="1" applyAlignment="1">
      <alignment horizontal="center" vertical="center"/>
    </xf>
    <xf numFmtId="44" fontId="26" fillId="0" borderId="3" xfId="3515" applyFont="1" applyFill="1" applyBorder="1" applyAlignment="1">
      <alignment horizontal="center" vertical="center"/>
    </xf>
    <xf numFmtId="168" fontId="26" fillId="0" borderId="3" xfId="80" applyFont="1" applyFill="1" applyBorder="1" applyAlignment="1">
      <alignment horizontal="center" vertical="center"/>
    </xf>
    <xf numFmtId="190" fontId="26" fillId="0" borderId="3" xfId="3516" applyNumberFormat="1" applyFont="1" applyFill="1" applyBorder="1" applyAlignment="1">
      <alignment horizontal="center" vertical="center"/>
    </xf>
    <xf numFmtId="41" fontId="34" fillId="0" borderId="3" xfId="3516" applyFont="1" applyFill="1" applyBorder="1" applyAlignment="1">
      <alignment horizontal="center" vertical="center"/>
    </xf>
    <xf numFmtId="170" fontId="26" fillId="0" borderId="3" xfId="149" applyNumberFormat="1" applyFont="1" applyFill="1" applyBorder="1" applyAlignment="1">
      <alignment horizontal="center" vertical="center"/>
    </xf>
    <xf numFmtId="189" fontId="34" fillId="0" borderId="3" xfId="80" applyNumberFormat="1" applyFont="1" applyFill="1" applyBorder="1" applyAlignment="1">
      <alignment horizontal="center" vertical="center"/>
    </xf>
    <xf numFmtId="9" fontId="26" fillId="16" borderId="3" xfId="3459" applyFont="1" applyFill="1" applyBorder="1" applyAlignment="1">
      <alignment horizontal="center" vertical="center"/>
    </xf>
    <xf numFmtId="170" fontId="34" fillId="16" borderId="3" xfId="3459" applyNumberFormat="1" applyFont="1" applyFill="1" applyBorder="1" applyAlignment="1">
      <alignment horizontal="center" vertical="center"/>
    </xf>
    <xf numFmtId="9" fontId="26" fillId="0" borderId="3" xfId="3459" applyFont="1" applyFill="1" applyBorder="1" applyAlignment="1">
      <alignment horizontal="center" vertical="center"/>
    </xf>
    <xf numFmtId="9" fontId="34" fillId="16" borderId="3" xfId="3459" applyFont="1" applyFill="1" applyBorder="1" applyAlignment="1">
      <alignment horizontal="center" vertical="center"/>
    </xf>
    <xf numFmtId="9" fontId="34" fillId="0" borderId="3" xfId="3459" applyFont="1" applyFill="1" applyBorder="1" applyAlignment="1">
      <alignment horizontal="center" vertical="center"/>
    </xf>
    <xf numFmtId="170" fontId="26" fillId="0" borderId="3" xfId="3459" applyNumberFormat="1" applyFont="1" applyFill="1" applyBorder="1" applyAlignment="1">
      <alignment horizontal="center" vertical="center"/>
    </xf>
    <xf numFmtId="170" fontId="34" fillId="0" borderId="3" xfId="3459" applyNumberFormat="1" applyFont="1" applyFill="1" applyBorder="1" applyAlignment="1">
      <alignment horizontal="center" vertical="center"/>
    </xf>
    <xf numFmtId="170" fontId="34" fillId="16" borderId="3" xfId="149" applyNumberFormat="1" applyFont="1" applyFill="1" applyBorder="1" applyAlignment="1">
      <alignment horizontal="center" vertical="center"/>
    </xf>
    <xf numFmtId="10" fontId="26" fillId="0" borderId="3" xfId="149" applyNumberFormat="1" applyFont="1" applyFill="1" applyBorder="1" applyAlignment="1">
      <alignment horizontal="center" vertical="center"/>
    </xf>
    <xf numFmtId="4" fontId="34" fillId="0" borderId="3" xfId="81" applyNumberFormat="1" applyFont="1" applyFill="1" applyBorder="1" applyAlignment="1">
      <alignment horizontal="center" vertical="center"/>
    </xf>
    <xf numFmtId="170" fontId="26" fillId="16" borderId="3" xfId="3459" applyNumberFormat="1" applyFont="1" applyFill="1" applyBorder="1" applyAlignment="1">
      <alignment horizontal="center" vertical="center"/>
    </xf>
    <xf numFmtId="10" fontId="26" fillId="16" borderId="3" xfId="149" applyNumberFormat="1" applyFont="1" applyFill="1" applyBorder="1" applyAlignment="1">
      <alignment horizontal="center" vertical="center"/>
    </xf>
    <xf numFmtId="0" fontId="25" fillId="0" borderId="3" xfId="128" applyFont="1" applyBorder="1" applyAlignment="1">
      <alignment horizontal="left" vertical="center" wrapText="1"/>
    </xf>
    <xf numFmtId="0" fontId="26" fillId="0" borderId="3" xfId="149" applyNumberFormat="1" applyFont="1" applyFill="1" applyBorder="1" applyAlignment="1">
      <alignment horizontal="center" vertical="center"/>
    </xf>
    <xf numFmtId="191" fontId="34" fillId="0" borderId="3" xfId="3516" applyNumberFormat="1" applyFont="1" applyFill="1" applyBorder="1" applyAlignment="1">
      <alignment horizontal="center" vertical="center"/>
    </xf>
    <xf numFmtId="0" fontId="34" fillId="0" borderId="3" xfId="81" applyNumberFormat="1" applyFont="1" applyFill="1" applyBorder="1" applyAlignment="1">
      <alignment horizontal="center" vertical="center"/>
    </xf>
    <xf numFmtId="0" fontId="23" fillId="0" borderId="6" xfId="128" applyFont="1" applyBorder="1" applyAlignment="1">
      <alignment horizontal="center" vertical="center" wrapText="1"/>
    </xf>
    <xf numFmtId="0" fontId="23" fillId="0" borderId="6" xfId="128" applyFont="1" applyBorder="1" applyAlignment="1">
      <alignment horizontal="left" vertical="center" wrapText="1"/>
    </xf>
    <xf numFmtId="0" fontId="25" fillId="0" borderId="2" xfId="128" applyFont="1" applyBorder="1" applyAlignment="1">
      <alignment horizontal="center" vertical="center" wrapText="1"/>
    </xf>
    <xf numFmtId="0" fontId="46" fillId="0" borderId="0" xfId="106" applyFont="1"/>
    <xf numFmtId="0" fontId="34" fillId="0" borderId="0" xfId="106" applyFont="1"/>
    <xf numFmtId="0" fontId="35" fillId="0" borderId="0" xfId="106" applyFont="1" applyAlignment="1">
      <alignment horizontal="center"/>
    </xf>
    <xf numFmtId="0" fontId="35" fillId="0" borderId="0" xfId="106" applyFont="1" applyAlignment="1">
      <alignment horizontal="left"/>
    </xf>
    <xf numFmtId="0" fontId="35" fillId="0" borderId="0" xfId="106" applyFont="1"/>
    <xf numFmtId="189" fontId="35" fillId="0" borderId="0" xfId="3515" applyNumberFormat="1" applyFont="1" applyBorder="1" applyAlignment="1"/>
    <xf numFmtId="0" fontId="35" fillId="0" borderId="0" xfId="168" applyFont="1"/>
    <xf numFmtId="0" fontId="32" fillId="0" borderId="0" xfId="168" applyFont="1"/>
    <xf numFmtId="0" fontId="45" fillId="0" borderId="0" xfId="168" applyFont="1"/>
    <xf numFmtId="189" fontId="17" fillId="0" borderId="0" xfId="3515" applyNumberFormat="1" applyFont="1" applyBorder="1"/>
    <xf numFmtId="189" fontId="24" fillId="8" borderId="3" xfId="3515" applyNumberFormat="1" applyFont="1" applyFill="1" applyBorder="1" applyAlignment="1">
      <alignment vertical="center" wrapText="1"/>
    </xf>
    <xf numFmtId="0" fontId="24" fillId="8" borderId="3" xfId="128" applyFont="1" applyFill="1" applyBorder="1" applyAlignment="1">
      <alignment vertical="center" wrapText="1"/>
    </xf>
    <xf numFmtId="9" fontId="34" fillId="16" borderId="3" xfId="149" applyFont="1" applyFill="1" applyBorder="1" applyAlignment="1">
      <alignment horizontal="center" vertical="center" wrapText="1"/>
    </xf>
    <xf numFmtId="6" fontId="34" fillId="16" borderId="3" xfId="0" applyNumberFormat="1" applyFont="1" applyFill="1" applyBorder="1" applyAlignment="1">
      <alignment horizontal="right" vertical="center"/>
    </xf>
    <xf numFmtId="174" fontId="34" fillId="16" borderId="3" xfId="0" applyNumberFormat="1" applyFont="1" applyFill="1" applyBorder="1" applyAlignment="1">
      <alignment horizontal="right" vertical="center"/>
    </xf>
    <xf numFmtId="1" fontId="34" fillId="5" borderId="3" xfId="319" applyNumberFormat="1" applyFont="1" applyFill="1" applyBorder="1" applyAlignment="1">
      <alignment horizontal="center" vertical="center" wrapText="1"/>
    </xf>
    <xf numFmtId="174" fontId="34" fillId="0" borderId="3" xfId="0" applyNumberFormat="1" applyFont="1" applyBorder="1" applyAlignment="1">
      <alignment horizontal="right" vertical="center"/>
    </xf>
    <xf numFmtId="174" fontId="26" fillId="0" borderId="3" xfId="0" applyNumberFormat="1" applyFont="1" applyBorder="1" applyAlignment="1">
      <alignment horizontal="right" vertical="center"/>
    </xf>
    <xf numFmtId="0" fontId="17" fillId="16" borderId="0" xfId="128" applyFill="1"/>
    <xf numFmtId="170" fontId="34" fillId="16" borderId="3" xfId="149" applyNumberFormat="1" applyFont="1" applyFill="1" applyBorder="1" applyAlignment="1">
      <alignment horizontal="center" vertical="center" wrapText="1"/>
    </xf>
    <xf numFmtId="9" fontId="34" fillId="0" borderId="3" xfId="149" applyFont="1" applyFill="1" applyBorder="1" applyAlignment="1">
      <alignment horizontal="center" vertical="center" wrapText="1"/>
    </xf>
    <xf numFmtId="170" fontId="34" fillId="0" borderId="3" xfId="149" applyNumberFormat="1" applyFont="1" applyFill="1" applyBorder="1" applyAlignment="1">
      <alignment horizontal="center" vertical="center" wrapText="1"/>
    </xf>
    <xf numFmtId="49" fontId="48" fillId="5" borderId="0" xfId="106" applyNumberFormat="1" applyFont="1" applyFill="1" applyAlignment="1">
      <alignment horizontal="center" vertical="center" wrapText="1"/>
    </xf>
    <xf numFmtId="173" fontId="17" fillId="0" borderId="0" xfId="24" applyNumberFormat="1" applyFont="1" applyBorder="1"/>
    <xf numFmtId="1" fontId="34" fillId="0" borderId="3" xfId="319" applyNumberFormat="1" applyFont="1" applyFill="1" applyBorder="1" applyAlignment="1">
      <alignment horizontal="center" vertical="center" wrapText="1"/>
    </xf>
    <xf numFmtId="1" fontId="34" fillId="16" borderId="3" xfId="319" applyNumberFormat="1" applyFont="1" applyFill="1" applyBorder="1" applyAlignment="1">
      <alignment horizontal="center" vertical="center" wrapText="1"/>
    </xf>
    <xf numFmtId="2" fontId="34" fillId="0" borderId="3" xfId="319" applyNumberFormat="1" applyFont="1" applyFill="1" applyBorder="1" applyAlignment="1">
      <alignment horizontal="center" vertical="center" wrapText="1"/>
    </xf>
    <xf numFmtId="2" fontId="34" fillId="5" borderId="3" xfId="319" applyNumberFormat="1" applyFont="1" applyFill="1" applyBorder="1" applyAlignment="1">
      <alignment horizontal="center" vertical="center" wrapText="1"/>
    </xf>
    <xf numFmtId="6" fontId="34" fillId="0" borderId="3" xfId="0" applyNumberFormat="1" applyFont="1" applyBorder="1" applyAlignment="1">
      <alignment horizontal="right" vertical="center"/>
    </xf>
    <xf numFmtId="49" fontId="48" fillId="6" borderId="0" xfId="106" applyNumberFormat="1" applyFont="1" applyFill="1" applyAlignment="1">
      <alignment horizontal="center" vertical="center" wrapText="1"/>
    </xf>
    <xf numFmtId="189" fontId="17" fillId="0" borderId="0" xfId="3515" applyNumberFormat="1" applyFont="1"/>
    <xf numFmtId="1" fontId="34" fillId="0" borderId="3" xfId="150" applyNumberFormat="1" applyFont="1" applyFill="1" applyBorder="1" applyAlignment="1">
      <alignment horizontal="center" vertical="center" wrapText="1"/>
    </xf>
    <xf numFmtId="9" fontId="34" fillId="5" borderId="3" xfId="149" applyFont="1" applyFill="1" applyBorder="1" applyAlignment="1">
      <alignment horizontal="center" vertical="center" wrapText="1"/>
    </xf>
    <xf numFmtId="9" fontId="34" fillId="16" borderId="3" xfId="3459" applyFont="1" applyFill="1" applyBorder="1" applyAlignment="1">
      <alignment horizontal="center" vertical="center" wrapText="1"/>
    </xf>
    <xf numFmtId="170" fontId="34" fillId="16" borderId="3" xfId="3459" applyNumberFormat="1" applyFont="1" applyFill="1" applyBorder="1" applyAlignment="1">
      <alignment horizontal="center" vertical="center" wrapText="1"/>
    </xf>
    <xf numFmtId="0" fontId="17" fillId="0" borderId="3" xfId="128" applyBorder="1" applyAlignment="1">
      <alignment wrapText="1"/>
    </xf>
    <xf numFmtId="9" fontId="34" fillId="5" borderId="3" xfId="3459" applyFont="1" applyFill="1" applyBorder="1" applyAlignment="1">
      <alignment horizontal="center" vertical="center" wrapText="1"/>
    </xf>
    <xf numFmtId="170" fontId="34" fillId="0" borderId="3" xfId="3459" applyNumberFormat="1" applyFont="1" applyFill="1" applyBorder="1" applyAlignment="1">
      <alignment horizontal="center" vertical="center" wrapText="1"/>
    </xf>
    <xf numFmtId="9" fontId="34" fillId="0" borderId="3" xfId="3459" applyFont="1" applyFill="1" applyBorder="1" applyAlignment="1">
      <alignment horizontal="center" vertical="center" wrapText="1"/>
    </xf>
    <xf numFmtId="170" fontId="34" fillId="5" borderId="3" xfId="149" applyNumberFormat="1" applyFont="1" applyFill="1" applyBorder="1" applyAlignment="1">
      <alignment horizontal="center" vertical="center" wrapText="1"/>
    </xf>
    <xf numFmtId="171" fontId="26" fillId="0" borderId="3" xfId="80" applyNumberFormat="1" applyFont="1" applyFill="1" applyBorder="1" applyAlignment="1">
      <alignment horizontal="center" vertical="center" wrapText="1"/>
    </xf>
    <xf numFmtId="0" fontId="36" fillId="0" borderId="3" xfId="128" applyFont="1" applyBorder="1" applyAlignment="1">
      <alignment horizontal="justify" vertical="center" wrapText="1"/>
    </xf>
    <xf numFmtId="9" fontId="26" fillId="0" borderId="4" xfId="149" applyFont="1" applyFill="1" applyBorder="1" applyAlignment="1">
      <alignment horizontal="center" vertical="center"/>
    </xf>
    <xf numFmtId="3" fontId="34" fillId="16" borderId="3" xfId="319" applyNumberFormat="1" applyFont="1" applyFill="1" applyBorder="1" applyAlignment="1">
      <alignment horizontal="center" vertical="center" wrapText="1"/>
    </xf>
    <xf numFmtId="3" fontId="34" fillId="5" borderId="3" xfId="319" applyNumberFormat="1" applyFont="1" applyFill="1" applyBorder="1" applyAlignment="1">
      <alignment horizontal="center" vertical="center" wrapText="1"/>
    </xf>
    <xf numFmtId="192" fontId="34" fillId="0" borderId="3" xfId="319" applyNumberFormat="1" applyFont="1" applyFill="1" applyBorder="1" applyAlignment="1">
      <alignment horizontal="center" vertical="center" wrapText="1"/>
    </xf>
    <xf numFmtId="0" fontId="23" fillId="0" borderId="0" xfId="128" applyFont="1" applyAlignment="1">
      <alignment horizontal="center" vertical="center" wrapText="1"/>
    </xf>
    <xf numFmtId="187" fontId="34" fillId="0" borderId="3" xfId="81" applyNumberFormat="1" applyFont="1" applyFill="1" applyBorder="1" applyAlignment="1">
      <alignment horizontal="center" vertical="center"/>
    </xf>
    <xf numFmtId="189" fontId="26" fillId="0" borderId="3" xfId="80" applyNumberFormat="1" applyFont="1" applyFill="1" applyBorder="1" applyAlignment="1">
      <alignment horizontal="center" vertical="center"/>
    </xf>
    <xf numFmtId="0" fontId="33" fillId="8" borderId="3" xfId="128" applyFont="1" applyFill="1" applyBorder="1" applyAlignment="1">
      <alignment horizontal="center" vertical="center" wrapText="1"/>
    </xf>
    <xf numFmtId="0" fontId="24" fillId="8" borderId="3" xfId="128" applyFont="1" applyFill="1" applyBorder="1" applyAlignment="1">
      <alignment horizontal="center" vertical="center" wrapText="1"/>
    </xf>
    <xf numFmtId="0" fontId="4" fillId="0" borderId="11" xfId="106" applyFont="1" applyBorder="1" applyAlignment="1">
      <alignment horizontal="left"/>
    </xf>
    <xf numFmtId="0" fontId="4" fillId="0" borderId="12" xfId="106" applyFont="1" applyBorder="1" applyAlignment="1">
      <alignment horizontal="left"/>
    </xf>
    <xf numFmtId="0" fontId="4" fillId="0" borderId="13" xfId="106" applyFont="1" applyBorder="1" applyAlignment="1">
      <alignment horizontal="left"/>
    </xf>
    <xf numFmtId="0" fontId="24" fillId="8" borderId="18" xfId="128" applyFont="1" applyFill="1" applyBorder="1" applyAlignment="1">
      <alignment horizontal="center" vertical="center" wrapText="1"/>
    </xf>
    <xf numFmtId="0" fontId="24" fillId="8" borderId="19" xfId="128" applyFont="1" applyFill="1" applyBorder="1" applyAlignment="1">
      <alignment horizontal="center" vertical="center" wrapText="1"/>
    </xf>
    <xf numFmtId="0" fontId="24" fillId="8" borderId="20" xfId="128" applyFont="1" applyFill="1" applyBorder="1" applyAlignment="1">
      <alignment horizontal="center" vertical="center" wrapText="1"/>
    </xf>
    <xf numFmtId="0" fontId="24" fillId="8" borderId="24" xfId="128" applyFont="1" applyFill="1" applyBorder="1" applyAlignment="1">
      <alignment horizontal="center" vertical="center" wrapText="1"/>
    </xf>
    <xf numFmtId="0" fontId="24" fillId="8" borderId="6" xfId="128" applyFont="1" applyFill="1" applyBorder="1" applyAlignment="1">
      <alignment horizontal="center" vertical="center" wrapText="1"/>
    </xf>
    <xf numFmtId="0" fontId="24" fillId="8" borderId="25" xfId="128" applyFont="1" applyFill="1" applyBorder="1" applyAlignment="1">
      <alignment horizontal="center" vertical="center" wrapText="1"/>
    </xf>
    <xf numFmtId="0" fontId="24" fillId="8" borderId="21" xfId="128" applyFont="1" applyFill="1" applyBorder="1" applyAlignment="1">
      <alignment horizontal="center" vertical="center" wrapText="1"/>
    </xf>
    <xf numFmtId="0" fontId="24" fillId="8" borderId="22" xfId="128" applyFont="1" applyFill="1" applyBorder="1" applyAlignment="1">
      <alignment horizontal="center" vertical="center" wrapText="1"/>
    </xf>
    <xf numFmtId="0" fontId="24" fillId="8" borderId="23" xfId="128" applyFont="1" applyFill="1" applyBorder="1" applyAlignment="1">
      <alignment horizontal="center" vertical="center" wrapText="1"/>
    </xf>
    <xf numFmtId="0" fontId="6" fillId="12" borderId="2" xfId="106" applyFont="1" applyFill="1" applyBorder="1" applyAlignment="1">
      <alignment horizontal="left" vertical="center"/>
    </xf>
    <xf numFmtId="0" fontId="6" fillId="12" borderId="0" xfId="106" applyFont="1" applyFill="1" applyAlignment="1">
      <alignment horizontal="left" vertical="center"/>
    </xf>
    <xf numFmtId="0" fontId="23" fillId="0" borderId="0" xfId="128" applyFont="1" applyAlignment="1">
      <alignment horizontal="left" vertical="center" wrapText="1"/>
    </xf>
    <xf numFmtId="0" fontId="23" fillId="0" borderId="5" xfId="128" applyFont="1" applyBorder="1" applyAlignment="1">
      <alignment horizontal="center" vertical="center" wrapText="1"/>
    </xf>
    <xf numFmtId="0" fontId="23" fillId="0" borderId="6" xfId="128" applyFont="1" applyBorder="1" applyAlignment="1">
      <alignment horizontal="center" vertical="center" wrapText="1"/>
    </xf>
    <xf numFmtId="0" fontId="23" fillId="0" borderId="4" xfId="128" applyFont="1" applyBorder="1" applyAlignment="1">
      <alignment horizontal="center" vertical="center" wrapText="1"/>
    </xf>
    <xf numFmtId="49" fontId="9" fillId="6" borderId="14" xfId="106" applyNumberFormat="1" applyFont="1" applyFill="1" applyBorder="1" applyAlignment="1">
      <alignment horizontal="center" vertical="center" wrapText="1"/>
    </xf>
    <xf numFmtId="49" fontId="9" fillId="6" borderId="7" xfId="106" applyNumberFormat="1" applyFont="1" applyFill="1" applyBorder="1" applyAlignment="1">
      <alignment horizontal="center" vertical="center" wrapText="1"/>
    </xf>
    <xf numFmtId="0" fontId="24" fillId="8" borderId="8" xfId="128" applyFont="1" applyFill="1" applyBorder="1" applyAlignment="1">
      <alignment horizontal="center" vertical="center" wrapText="1"/>
    </xf>
    <xf numFmtId="0" fontId="24" fillId="8" borderId="9" xfId="128" applyFont="1" applyFill="1" applyBorder="1" applyAlignment="1">
      <alignment horizontal="center" vertical="center" wrapText="1"/>
    </xf>
    <xf numFmtId="0" fontId="24" fillId="8" borderId="10" xfId="128" applyFont="1" applyFill="1" applyBorder="1" applyAlignment="1">
      <alignment horizontal="center" vertical="center" wrapText="1"/>
    </xf>
    <xf numFmtId="49" fontId="9" fillId="13" borderId="5" xfId="106" applyNumberFormat="1" applyFont="1" applyFill="1" applyBorder="1" applyAlignment="1">
      <alignment horizontal="center" vertical="center" wrapText="1"/>
    </xf>
    <xf numFmtId="49" fontId="9" fillId="13" borderId="6" xfId="106" applyNumberFormat="1" applyFont="1" applyFill="1" applyBorder="1" applyAlignment="1">
      <alignment horizontal="center" vertical="center" wrapText="1"/>
    </xf>
    <xf numFmtId="49" fontId="9" fillId="13" borderId="4" xfId="106" applyNumberFormat="1" applyFont="1" applyFill="1" applyBorder="1" applyAlignment="1">
      <alignment horizontal="center" vertical="center" wrapText="1"/>
    </xf>
    <xf numFmtId="49" fontId="9" fillId="9" borderId="5" xfId="106" applyNumberFormat="1" applyFont="1" applyFill="1" applyBorder="1" applyAlignment="1">
      <alignment horizontal="center" vertical="center" wrapText="1"/>
    </xf>
    <xf numFmtId="49" fontId="9" fillId="9" borderId="6" xfId="106" applyNumberFormat="1" applyFont="1" applyFill="1" applyBorder="1" applyAlignment="1">
      <alignment horizontal="center" vertical="center" wrapText="1"/>
    </xf>
    <xf numFmtId="49" fontId="9" fillId="9" borderId="4" xfId="106" applyNumberFormat="1" applyFont="1" applyFill="1" applyBorder="1" applyAlignment="1">
      <alignment horizontal="center" vertical="center" wrapText="1"/>
    </xf>
    <xf numFmtId="0" fontId="23" fillId="5" borderId="5" xfId="128" applyFont="1" applyFill="1" applyBorder="1" applyAlignment="1">
      <alignment horizontal="center" vertical="center" wrapText="1"/>
    </xf>
    <xf numFmtId="0" fontId="23" fillId="5" borderId="6" xfId="128" applyFont="1" applyFill="1" applyBorder="1" applyAlignment="1">
      <alignment horizontal="center" vertical="center" wrapText="1"/>
    </xf>
    <xf numFmtId="0" fontId="23" fillId="5" borderId="4" xfId="128" applyFont="1" applyFill="1" applyBorder="1" applyAlignment="1">
      <alignment horizontal="center" vertical="center" wrapText="1"/>
    </xf>
    <xf numFmtId="49" fontId="9" fillId="7" borderId="3" xfId="106" applyNumberFormat="1" applyFont="1" applyFill="1" applyBorder="1" applyAlignment="1">
      <alignment horizontal="center" vertical="center" wrapText="1"/>
    </xf>
    <xf numFmtId="0" fontId="23" fillId="0" borderId="3" xfId="128" applyFont="1" applyBorder="1" applyAlignment="1">
      <alignment horizontal="center" vertical="center" wrapText="1"/>
    </xf>
    <xf numFmtId="49" fontId="9" fillId="6" borderId="5" xfId="106" applyNumberFormat="1" applyFont="1" applyFill="1" applyBorder="1" applyAlignment="1">
      <alignment horizontal="center" vertical="center" wrapText="1"/>
    </xf>
    <xf numFmtId="49" fontId="9" fillId="6" borderId="4" xfId="106" applyNumberFormat="1" applyFont="1" applyFill="1" applyBorder="1" applyAlignment="1">
      <alignment horizontal="center" vertical="center" wrapText="1"/>
    </xf>
    <xf numFmtId="0" fontId="33" fillId="8" borderId="5" xfId="128" applyFont="1" applyFill="1" applyBorder="1" applyAlignment="1">
      <alignment horizontal="center" vertical="center" wrapText="1"/>
    </xf>
    <xf numFmtId="0" fontId="33" fillId="8" borderId="4" xfId="128" applyFont="1" applyFill="1" applyBorder="1" applyAlignment="1">
      <alignment horizontal="center" vertical="center" wrapText="1"/>
    </xf>
    <xf numFmtId="0" fontId="17" fillId="0" borderId="0" xfId="128" applyAlignment="1">
      <alignment horizontal="left" vertical="center" wrapText="1"/>
    </xf>
    <xf numFmtId="0" fontId="23" fillId="0" borderId="11" xfId="128" applyFont="1" applyBorder="1" applyAlignment="1">
      <alignment horizontal="left"/>
    </xf>
    <xf numFmtId="0" fontId="23" fillId="0" borderId="12" xfId="128" applyFont="1" applyBorder="1" applyAlignment="1">
      <alignment horizontal="left"/>
    </xf>
    <xf numFmtId="0" fontId="23" fillId="0" borderId="13" xfId="128" applyFont="1" applyBorder="1" applyAlignment="1">
      <alignment horizontal="left"/>
    </xf>
    <xf numFmtId="0" fontId="24" fillId="8" borderId="5" xfId="128" applyFont="1" applyFill="1" applyBorder="1" applyAlignment="1">
      <alignment horizontal="center" vertical="center" wrapText="1"/>
    </xf>
    <xf numFmtId="0" fontId="24" fillId="8" borderId="4" xfId="128" applyFont="1" applyFill="1" applyBorder="1" applyAlignment="1">
      <alignment horizontal="center" vertical="center" wrapText="1"/>
    </xf>
    <xf numFmtId="0" fontId="47" fillId="12" borderId="0" xfId="106" applyFont="1" applyFill="1" applyAlignment="1">
      <alignment horizontal="center" vertical="center"/>
    </xf>
    <xf numFmtId="0" fontId="23" fillId="0" borderId="5" xfId="128" applyFont="1" applyBorder="1" applyAlignment="1">
      <alignment horizontal="left" vertical="center" wrapText="1"/>
    </xf>
    <xf numFmtId="0" fontId="23" fillId="0" borderId="6" xfId="128" applyFont="1" applyBorder="1" applyAlignment="1">
      <alignment horizontal="left" vertical="center" wrapText="1"/>
    </xf>
    <xf numFmtId="0" fontId="23" fillId="0" borderId="4" xfId="128" applyFont="1" applyBorder="1" applyAlignment="1">
      <alignment horizontal="left" vertical="center" wrapText="1"/>
    </xf>
    <xf numFmtId="0" fontId="25" fillId="0" borderId="15" xfId="128" applyFont="1" applyBorder="1" applyAlignment="1">
      <alignment horizontal="center" vertical="center" wrapText="1"/>
    </xf>
    <xf numFmtId="0" fontId="25" fillId="0" borderId="2" xfId="128" applyFont="1" applyBorder="1" applyAlignment="1">
      <alignment horizontal="center" vertical="center" wrapText="1"/>
    </xf>
    <xf numFmtId="49" fontId="48" fillId="6" borderId="14" xfId="106" applyNumberFormat="1" applyFont="1" applyFill="1" applyBorder="1" applyAlignment="1">
      <alignment horizontal="center" vertical="center" wrapText="1"/>
    </xf>
    <xf numFmtId="49" fontId="48" fillId="6" borderId="7" xfId="106" applyNumberFormat="1" applyFont="1" applyFill="1" applyBorder="1" applyAlignment="1">
      <alignment horizontal="center" vertical="center" wrapText="1"/>
    </xf>
    <xf numFmtId="0" fontId="24" fillId="8" borderId="2" xfId="128" applyFont="1" applyFill="1" applyBorder="1" applyAlignment="1">
      <alignment horizontal="center" vertical="center" wrapText="1"/>
    </xf>
    <xf numFmtId="0" fontId="19" fillId="8" borderId="3" xfId="128" applyFont="1" applyFill="1" applyBorder="1" applyAlignment="1">
      <alignment horizontal="center" vertical="center" wrapText="1"/>
    </xf>
    <xf numFmtId="0" fontId="27" fillId="0" borderId="0" xfId="128" applyFont="1" applyAlignment="1">
      <alignment horizontal="left" vertical="center" wrapText="1"/>
    </xf>
    <xf numFmtId="0" fontId="49" fillId="8" borderId="5" xfId="128" applyFont="1" applyFill="1" applyBorder="1" applyAlignment="1">
      <alignment horizontal="center" vertical="center" wrapText="1"/>
    </xf>
    <xf numFmtId="0" fontId="49" fillId="8" borderId="4" xfId="128" applyFont="1" applyFill="1" applyBorder="1" applyAlignment="1">
      <alignment horizontal="center" vertical="center" wrapText="1"/>
    </xf>
    <xf numFmtId="49" fontId="48" fillId="6" borderId="26" xfId="106" applyNumberFormat="1" applyFont="1" applyFill="1" applyBorder="1" applyAlignment="1">
      <alignment horizontal="center" vertical="center" wrapText="1"/>
    </xf>
    <xf numFmtId="49" fontId="48" fillId="6" borderId="0" xfId="106" applyNumberFormat="1" applyFont="1" applyFill="1" applyAlignment="1">
      <alignment horizontal="center" vertical="center" wrapText="1"/>
    </xf>
  </cellXfs>
  <cellStyles count="3786">
    <cellStyle name="60% - Énfasis6 2" xfId="3542"/>
    <cellStyle name="Accent1" xfId="1"/>
    <cellStyle name="BodyStyle" xfId="3529"/>
    <cellStyle name="Bueno 2" xfId="948"/>
    <cellStyle name="Comma 2" xfId="2"/>
    <cellStyle name="Comma 2 10" xfId="949"/>
    <cellStyle name="Comma 2 10 2" xfId="950"/>
    <cellStyle name="Comma 2 10 2 2" xfId="951"/>
    <cellStyle name="Comma 2 10 3" xfId="952"/>
    <cellStyle name="Comma 2 11" xfId="953"/>
    <cellStyle name="Comma 2 11 2" xfId="954"/>
    <cellStyle name="Comma 2 12" xfId="955"/>
    <cellStyle name="Comma 2 2" xfId="3"/>
    <cellStyle name="Comma 2 2 2" xfId="4"/>
    <cellStyle name="Comma 2 3" xfId="5"/>
    <cellStyle name="Comma 2 3 10" xfId="956"/>
    <cellStyle name="Comma 2 3 2" xfId="199"/>
    <cellStyle name="Comma 2 3 2 2" xfId="328"/>
    <cellStyle name="Comma 2 3 2 2 2" xfId="420"/>
    <cellStyle name="Comma 2 3 2 2 2 2" xfId="590"/>
    <cellStyle name="Comma 2 3 2 2 2 2 2" xfId="957"/>
    <cellStyle name="Comma 2 3 2 2 2 2 2 2" xfId="958"/>
    <cellStyle name="Comma 2 3 2 2 2 2 2 2 2" xfId="959"/>
    <cellStyle name="Comma 2 3 2 2 2 2 2 3" xfId="960"/>
    <cellStyle name="Comma 2 3 2 2 2 2 3" xfId="961"/>
    <cellStyle name="Comma 2 3 2 2 2 2 3 2" xfId="962"/>
    <cellStyle name="Comma 2 3 2 2 2 2 3 2 2" xfId="963"/>
    <cellStyle name="Comma 2 3 2 2 2 2 3 3" xfId="964"/>
    <cellStyle name="Comma 2 3 2 2 2 2 4" xfId="965"/>
    <cellStyle name="Comma 2 3 2 2 2 2 4 2" xfId="966"/>
    <cellStyle name="Comma 2 3 2 2 2 2 5" xfId="967"/>
    <cellStyle name="Comma 2 3 2 2 2 3" xfId="968"/>
    <cellStyle name="Comma 2 3 2 2 2 3 2" xfId="969"/>
    <cellStyle name="Comma 2 3 2 2 2 3 2 2" xfId="970"/>
    <cellStyle name="Comma 2 3 2 2 2 3 3" xfId="971"/>
    <cellStyle name="Comma 2 3 2 2 2 4" xfId="972"/>
    <cellStyle name="Comma 2 3 2 2 2 4 2" xfId="973"/>
    <cellStyle name="Comma 2 3 2 2 2 4 2 2" xfId="974"/>
    <cellStyle name="Comma 2 3 2 2 2 4 3" xfId="975"/>
    <cellStyle name="Comma 2 3 2 2 2 5" xfId="976"/>
    <cellStyle name="Comma 2 3 2 2 2 5 2" xfId="977"/>
    <cellStyle name="Comma 2 3 2 2 2 5 2 2" xfId="978"/>
    <cellStyle name="Comma 2 3 2 2 2 5 3" xfId="979"/>
    <cellStyle name="Comma 2 3 2 2 2 6" xfId="980"/>
    <cellStyle name="Comma 2 3 2 2 2 6 2" xfId="981"/>
    <cellStyle name="Comma 2 3 2 2 2 7" xfId="982"/>
    <cellStyle name="Comma 2 3 2 2 3" xfId="504"/>
    <cellStyle name="Comma 2 3 2 2 3 2" xfId="983"/>
    <cellStyle name="Comma 2 3 2 2 3 2 2" xfId="984"/>
    <cellStyle name="Comma 2 3 2 2 3 2 2 2" xfId="985"/>
    <cellStyle name="Comma 2 3 2 2 3 2 3" xfId="986"/>
    <cellStyle name="Comma 2 3 2 2 3 3" xfId="987"/>
    <cellStyle name="Comma 2 3 2 2 3 3 2" xfId="988"/>
    <cellStyle name="Comma 2 3 2 2 3 3 2 2" xfId="989"/>
    <cellStyle name="Comma 2 3 2 2 3 3 3" xfId="990"/>
    <cellStyle name="Comma 2 3 2 2 3 4" xfId="991"/>
    <cellStyle name="Comma 2 3 2 2 3 4 2" xfId="992"/>
    <cellStyle name="Comma 2 3 2 2 3 5" xfId="993"/>
    <cellStyle name="Comma 2 3 2 2 4" xfId="994"/>
    <cellStyle name="Comma 2 3 2 2 4 2" xfId="995"/>
    <cellStyle name="Comma 2 3 2 2 4 2 2" xfId="996"/>
    <cellStyle name="Comma 2 3 2 2 4 3" xfId="997"/>
    <cellStyle name="Comma 2 3 2 2 5" xfId="998"/>
    <cellStyle name="Comma 2 3 2 2 5 2" xfId="999"/>
    <cellStyle name="Comma 2 3 2 2 5 2 2" xfId="1000"/>
    <cellStyle name="Comma 2 3 2 2 5 3" xfId="1001"/>
    <cellStyle name="Comma 2 3 2 2 6" xfId="1002"/>
    <cellStyle name="Comma 2 3 2 2 6 2" xfId="1003"/>
    <cellStyle name="Comma 2 3 2 2 6 2 2" xfId="1004"/>
    <cellStyle name="Comma 2 3 2 2 6 3" xfId="1005"/>
    <cellStyle name="Comma 2 3 2 2 7" xfId="1006"/>
    <cellStyle name="Comma 2 3 2 2 7 2" xfId="1007"/>
    <cellStyle name="Comma 2 3 2 2 8" xfId="1008"/>
    <cellStyle name="Comma 2 3 2 3" xfId="419"/>
    <cellStyle name="Comma 2 3 2 3 2" xfId="589"/>
    <cellStyle name="Comma 2 3 2 3 2 2" xfId="1009"/>
    <cellStyle name="Comma 2 3 2 3 2 2 2" xfId="1010"/>
    <cellStyle name="Comma 2 3 2 3 2 2 2 2" xfId="1011"/>
    <cellStyle name="Comma 2 3 2 3 2 2 3" xfId="1012"/>
    <cellStyle name="Comma 2 3 2 3 2 3" xfId="1013"/>
    <cellStyle name="Comma 2 3 2 3 2 3 2" xfId="1014"/>
    <cellStyle name="Comma 2 3 2 3 2 3 2 2" xfId="1015"/>
    <cellStyle name="Comma 2 3 2 3 2 3 3" xfId="1016"/>
    <cellStyle name="Comma 2 3 2 3 2 4" xfId="1017"/>
    <cellStyle name="Comma 2 3 2 3 2 4 2" xfId="1018"/>
    <cellStyle name="Comma 2 3 2 3 2 5" xfId="1019"/>
    <cellStyle name="Comma 2 3 2 3 3" xfId="1020"/>
    <cellStyle name="Comma 2 3 2 3 3 2" xfId="1021"/>
    <cellStyle name="Comma 2 3 2 3 3 2 2" xfId="1022"/>
    <cellStyle name="Comma 2 3 2 3 3 3" xfId="1023"/>
    <cellStyle name="Comma 2 3 2 3 4" xfId="1024"/>
    <cellStyle name="Comma 2 3 2 3 4 2" xfId="1025"/>
    <cellStyle name="Comma 2 3 2 3 4 2 2" xfId="1026"/>
    <cellStyle name="Comma 2 3 2 3 4 3" xfId="1027"/>
    <cellStyle name="Comma 2 3 2 3 5" xfId="1028"/>
    <cellStyle name="Comma 2 3 2 3 5 2" xfId="1029"/>
    <cellStyle name="Comma 2 3 2 3 5 2 2" xfId="1030"/>
    <cellStyle name="Comma 2 3 2 3 5 3" xfId="1031"/>
    <cellStyle name="Comma 2 3 2 3 6" xfId="1032"/>
    <cellStyle name="Comma 2 3 2 3 6 2" xfId="1033"/>
    <cellStyle name="Comma 2 3 2 3 7" xfId="1034"/>
    <cellStyle name="Comma 2 3 2 4" xfId="503"/>
    <cellStyle name="Comma 2 3 2 4 2" xfId="1035"/>
    <cellStyle name="Comma 2 3 2 4 2 2" xfId="1036"/>
    <cellStyle name="Comma 2 3 2 4 2 2 2" xfId="1037"/>
    <cellStyle name="Comma 2 3 2 4 2 3" xfId="1038"/>
    <cellStyle name="Comma 2 3 2 4 3" xfId="1039"/>
    <cellStyle name="Comma 2 3 2 4 3 2" xfId="1040"/>
    <cellStyle name="Comma 2 3 2 4 3 2 2" xfId="1041"/>
    <cellStyle name="Comma 2 3 2 4 3 3" xfId="1042"/>
    <cellStyle name="Comma 2 3 2 4 4" xfId="1043"/>
    <cellStyle name="Comma 2 3 2 4 4 2" xfId="1044"/>
    <cellStyle name="Comma 2 3 2 4 5" xfId="1045"/>
    <cellStyle name="Comma 2 3 2 5" xfId="1046"/>
    <cellStyle name="Comma 2 3 2 5 2" xfId="1047"/>
    <cellStyle name="Comma 2 3 2 5 2 2" xfId="1048"/>
    <cellStyle name="Comma 2 3 2 5 3" xfId="1049"/>
    <cellStyle name="Comma 2 3 2 6" xfId="1050"/>
    <cellStyle name="Comma 2 3 2 6 2" xfId="1051"/>
    <cellStyle name="Comma 2 3 2 6 2 2" xfId="1052"/>
    <cellStyle name="Comma 2 3 2 6 3" xfId="1053"/>
    <cellStyle name="Comma 2 3 2 7" xfId="1054"/>
    <cellStyle name="Comma 2 3 2 7 2" xfId="1055"/>
    <cellStyle name="Comma 2 3 2 7 2 2" xfId="1056"/>
    <cellStyle name="Comma 2 3 2 7 3" xfId="1057"/>
    <cellStyle name="Comma 2 3 2 8" xfId="1058"/>
    <cellStyle name="Comma 2 3 2 8 2" xfId="1059"/>
    <cellStyle name="Comma 2 3 2 9" xfId="1060"/>
    <cellStyle name="Comma 2 3 3" xfId="329"/>
    <cellStyle name="Comma 2 3 3 2" xfId="330"/>
    <cellStyle name="Comma 2 3 3 2 2" xfId="422"/>
    <cellStyle name="Comma 2 3 3 2 2 2" xfId="592"/>
    <cellStyle name="Comma 2 3 3 2 2 2 2" xfId="1061"/>
    <cellStyle name="Comma 2 3 3 2 2 2 2 2" xfId="1062"/>
    <cellStyle name="Comma 2 3 3 2 2 2 3" xfId="1063"/>
    <cellStyle name="Comma 2 3 3 2 2 3" xfId="1064"/>
    <cellStyle name="Comma 2 3 3 2 2 3 2" xfId="1065"/>
    <cellStyle name="Comma 2 3 3 2 2 3 2 2" xfId="1066"/>
    <cellStyle name="Comma 2 3 3 2 2 3 3" xfId="1067"/>
    <cellStyle name="Comma 2 3 3 2 2 4" xfId="1068"/>
    <cellStyle name="Comma 2 3 3 2 2 4 2" xfId="1069"/>
    <cellStyle name="Comma 2 3 3 2 2 5" xfId="1070"/>
    <cellStyle name="Comma 2 3 3 2 3" xfId="506"/>
    <cellStyle name="Comma 2 3 3 2 3 2" xfId="1071"/>
    <cellStyle name="Comma 2 3 3 2 3 2 2" xfId="1072"/>
    <cellStyle name="Comma 2 3 3 2 3 3" xfId="1073"/>
    <cellStyle name="Comma 2 3 3 2 4" xfId="1074"/>
    <cellStyle name="Comma 2 3 3 2 4 2" xfId="1075"/>
    <cellStyle name="Comma 2 3 3 2 4 2 2" xfId="1076"/>
    <cellStyle name="Comma 2 3 3 2 4 3" xfId="1077"/>
    <cellStyle name="Comma 2 3 3 2 5" xfId="1078"/>
    <cellStyle name="Comma 2 3 3 2 5 2" xfId="1079"/>
    <cellStyle name="Comma 2 3 3 2 5 2 2" xfId="1080"/>
    <cellStyle name="Comma 2 3 3 2 5 3" xfId="1081"/>
    <cellStyle name="Comma 2 3 3 2 6" xfId="1082"/>
    <cellStyle name="Comma 2 3 3 2 6 2" xfId="1083"/>
    <cellStyle name="Comma 2 3 3 2 7" xfId="1084"/>
    <cellStyle name="Comma 2 3 3 3" xfId="421"/>
    <cellStyle name="Comma 2 3 3 3 2" xfId="591"/>
    <cellStyle name="Comma 2 3 3 3 2 2" xfId="1085"/>
    <cellStyle name="Comma 2 3 3 3 2 2 2" xfId="1086"/>
    <cellStyle name="Comma 2 3 3 3 2 3" xfId="1087"/>
    <cellStyle name="Comma 2 3 3 3 3" xfId="1088"/>
    <cellStyle name="Comma 2 3 3 3 3 2" xfId="1089"/>
    <cellStyle name="Comma 2 3 3 3 3 2 2" xfId="1090"/>
    <cellStyle name="Comma 2 3 3 3 3 3" xfId="1091"/>
    <cellStyle name="Comma 2 3 3 3 4" xfId="1092"/>
    <cellStyle name="Comma 2 3 3 3 4 2" xfId="1093"/>
    <cellStyle name="Comma 2 3 3 3 5" xfId="1094"/>
    <cellStyle name="Comma 2 3 3 4" xfId="505"/>
    <cellStyle name="Comma 2 3 3 4 2" xfId="1095"/>
    <cellStyle name="Comma 2 3 3 4 2 2" xfId="1096"/>
    <cellStyle name="Comma 2 3 3 4 3" xfId="1097"/>
    <cellStyle name="Comma 2 3 3 5" xfId="1098"/>
    <cellStyle name="Comma 2 3 3 5 2" xfId="1099"/>
    <cellStyle name="Comma 2 3 3 5 2 2" xfId="1100"/>
    <cellStyle name="Comma 2 3 3 5 3" xfId="1101"/>
    <cellStyle name="Comma 2 3 3 6" xfId="1102"/>
    <cellStyle name="Comma 2 3 3 6 2" xfId="1103"/>
    <cellStyle name="Comma 2 3 3 6 2 2" xfId="1104"/>
    <cellStyle name="Comma 2 3 3 6 3" xfId="1105"/>
    <cellStyle name="Comma 2 3 3 7" xfId="1106"/>
    <cellStyle name="Comma 2 3 3 7 2" xfId="1107"/>
    <cellStyle name="Comma 2 3 3 8" xfId="1108"/>
    <cellStyle name="Comma 2 3 4" xfId="331"/>
    <cellStyle name="Comma 2 3 4 2" xfId="423"/>
    <cellStyle name="Comma 2 3 4 2 2" xfId="593"/>
    <cellStyle name="Comma 2 3 4 2 2 2" xfId="1109"/>
    <cellStyle name="Comma 2 3 4 2 2 2 2" xfId="1110"/>
    <cellStyle name="Comma 2 3 4 2 2 3" xfId="1111"/>
    <cellStyle name="Comma 2 3 4 2 3" xfId="1112"/>
    <cellStyle name="Comma 2 3 4 2 3 2" xfId="1113"/>
    <cellStyle name="Comma 2 3 4 2 3 2 2" xfId="1114"/>
    <cellStyle name="Comma 2 3 4 2 3 3" xfId="1115"/>
    <cellStyle name="Comma 2 3 4 2 4" xfId="1116"/>
    <cellStyle name="Comma 2 3 4 2 4 2" xfId="1117"/>
    <cellStyle name="Comma 2 3 4 2 5" xfId="1118"/>
    <cellStyle name="Comma 2 3 4 3" xfId="507"/>
    <cellStyle name="Comma 2 3 4 3 2" xfId="1119"/>
    <cellStyle name="Comma 2 3 4 3 2 2" xfId="1120"/>
    <cellStyle name="Comma 2 3 4 3 3" xfId="1121"/>
    <cellStyle name="Comma 2 3 4 4" xfId="1122"/>
    <cellStyle name="Comma 2 3 4 4 2" xfId="1123"/>
    <cellStyle name="Comma 2 3 4 4 2 2" xfId="1124"/>
    <cellStyle name="Comma 2 3 4 4 3" xfId="1125"/>
    <cellStyle name="Comma 2 3 4 5" xfId="1126"/>
    <cellStyle name="Comma 2 3 4 5 2" xfId="1127"/>
    <cellStyle name="Comma 2 3 4 5 2 2" xfId="1128"/>
    <cellStyle name="Comma 2 3 4 5 3" xfId="1129"/>
    <cellStyle name="Comma 2 3 4 6" xfId="1130"/>
    <cellStyle name="Comma 2 3 4 6 2" xfId="1131"/>
    <cellStyle name="Comma 2 3 4 7" xfId="1132"/>
    <cellStyle name="Comma 2 3 5" xfId="418"/>
    <cellStyle name="Comma 2 3 5 2" xfId="588"/>
    <cellStyle name="Comma 2 3 5 2 2" xfId="1133"/>
    <cellStyle name="Comma 2 3 5 2 2 2" xfId="1134"/>
    <cellStyle name="Comma 2 3 5 2 3" xfId="1135"/>
    <cellStyle name="Comma 2 3 5 3" xfId="1136"/>
    <cellStyle name="Comma 2 3 5 3 2" xfId="1137"/>
    <cellStyle name="Comma 2 3 5 3 2 2" xfId="1138"/>
    <cellStyle name="Comma 2 3 5 3 3" xfId="1139"/>
    <cellStyle name="Comma 2 3 5 4" xfId="1140"/>
    <cellStyle name="Comma 2 3 5 4 2" xfId="1141"/>
    <cellStyle name="Comma 2 3 5 5" xfId="1142"/>
    <cellStyle name="Comma 2 3 6" xfId="502"/>
    <cellStyle name="Comma 2 3 6 2" xfId="1143"/>
    <cellStyle name="Comma 2 3 6 2 2" xfId="1144"/>
    <cellStyle name="Comma 2 3 6 3" xfId="1145"/>
    <cellStyle name="Comma 2 3 7" xfId="1146"/>
    <cellStyle name="Comma 2 3 7 2" xfId="1147"/>
    <cellStyle name="Comma 2 3 7 2 2" xfId="1148"/>
    <cellStyle name="Comma 2 3 7 3" xfId="1149"/>
    <cellStyle name="Comma 2 3 8" xfId="1150"/>
    <cellStyle name="Comma 2 3 8 2" xfId="1151"/>
    <cellStyle name="Comma 2 3 8 2 2" xfId="1152"/>
    <cellStyle name="Comma 2 3 8 3" xfId="1153"/>
    <cellStyle name="Comma 2 3 9" xfId="1154"/>
    <cellStyle name="Comma 2 3 9 2" xfId="1155"/>
    <cellStyle name="Comma 2 4" xfId="198"/>
    <cellStyle name="Comma 2 4 2" xfId="332"/>
    <cellStyle name="Comma 2 4 2 2" xfId="425"/>
    <cellStyle name="Comma 2 4 2 2 2" xfId="595"/>
    <cellStyle name="Comma 2 4 2 2 2 2" xfId="1156"/>
    <cellStyle name="Comma 2 4 2 2 2 2 2" xfId="1157"/>
    <cellStyle name="Comma 2 4 2 2 2 2 2 2" xfId="1158"/>
    <cellStyle name="Comma 2 4 2 2 2 2 3" xfId="1159"/>
    <cellStyle name="Comma 2 4 2 2 2 3" xfId="1160"/>
    <cellStyle name="Comma 2 4 2 2 2 3 2" xfId="1161"/>
    <cellStyle name="Comma 2 4 2 2 2 3 2 2" xfId="1162"/>
    <cellStyle name="Comma 2 4 2 2 2 3 3" xfId="1163"/>
    <cellStyle name="Comma 2 4 2 2 2 4" xfId="1164"/>
    <cellStyle name="Comma 2 4 2 2 2 4 2" xfId="1165"/>
    <cellStyle name="Comma 2 4 2 2 2 5" xfId="1166"/>
    <cellStyle name="Comma 2 4 2 2 3" xfId="1167"/>
    <cellStyle name="Comma 2 4 2 2 3 2" xfId="1168"/>
    <cellStyle name="Comma 2 4 2 2 3 2 2" xfId="1169"/>
    <cellStyle name="Comma 2 4 2 2 3 3" xfId="1170"/>
    <cellStyle name="Comma 2 4 2 2 4" xfId="1171"/>
    <cellStyle name="Comma 2 4 2 2 4 2" xfId="1172"/>
    <cellStyle name="Comma 2 4 2 2 4 2 2" xfId="1173"/>
    <cellStyle name="Comma 2 4 2 2 4 3" xfId="1174"/>
    <cellStyle name="Comma 2 4 2 2 5" xfId="1175"/>
    <cellStyle name="Comma 2 4 2 2 5 2" xfId="1176"/>
    <cellStyle name="Comma 2 4 2 2 5 2 2" xfId="1177"/>
    <cellStyle name="Comma 2 4 2 2 5 3" xfId="1178"/>
    <cellStyle name="Comma 2 4 2 2 6" xfId="1179"/>
    <cellStyle name="Comma 2 4 2 2 6 2" xfId="1180"/>
    <cellStyle name="Comma 2 4 2 2 7" xfId="1181"/>
    <cellStyle name="Comma 2 4 2 3" xfId="509"/>
    <cellStyle name="Comma 2 4 2 3 2" xfId="1182"/>
    <cellStyle name="Comma 2 4 2 3 2 2" xfId="1183"/>
    <cellStyle name="Comma 2 4 2 3 2 2 2" xfId="1184"/>
    <cellStyle name="Comma 2 4 2 3 2 3" xfId="1185"/>
    <cellStyle name="Comma 2 4 2 3 3" xfId="1186"/>
    <cellStyle name="Comma 2 4 2 3 3 2" xfId="1187"/>
    <cellStyle name="Comma 2 4 2 3 3 2 2" xfId="1188"/>
    <cellStyle name="Comma 2 4 2 3 3 3" xfId="1189"/>
    <cellStyle name="Comma 2 4 2 3 4" xfId="1190"/>
    <cellStyle name="Comma 2 4 2 3 4 2" xfId="1191"/>
    <cellStyle name="Comma 2 4 2 3 5" xfId="1192"/>
    <cellStyle name="Comma 2 4 2 4" xfId="1193"/>
    <cellStyle name="Comma 2 4 2 4 2" xfId="1194"/>
    <cellStyle name="Comma 2 4 2 4 2 2" xfId="1195"/>
    <cellStyle name="Comma 2 4 2 4 3" xfId="1196"/>
    <cellStyle name="Comma 2 4 2 5" xfId="1197"/>
    <cellStyle name="Comma 2 4 2 5 2" xfId="1198"/>
    <cellStyle name="Comma 2 4 2 5 2 2" xfId="1199"/>
    <cellStyle name="Comma 2 4 2 5 3" xfId="1200"/>
    <cellStyle name="Comma 2 4 2 6" xfId="1201"/>
    <cellStyle name="Comma 2 4 2 6 2" xfId="1202"/>
    <cellStyle name="Comma 2 4 2 6 2 2" xfId="1203"/>
    <cellStyle name="Comma 2 4 2 6 3" xfId="1204"/>
    <cellStyle name="Comma 2 4 2 7" xfId="1205"/>
    <cellStyle name="Comma 2 4 2 7 2" xfId="1206"/>
    <cellStyle name="Comma 2 4 2 8" xfId="1207"/>
    <cellStyle name="Comma 2 4 3" xfId="424"/>
    <cellStyle name="Comma 2 4 3 2" xfId="594"/>
    <cellStyle name="Comma 2 4 3 2 2" xfId="1208"/>
    <cellStyle name="Comma 2 4 3 2 2 2" xfId="1209"/>
    <cellStyle name="Comma 2 4 3 2 2 2 2" xfId="1210"/>
    <cellStyle name="Comma 2 4 3 2 2 3" xfId="1211"/>
    <cellStyle name="Comma 2 4 3 2 3" xfId="1212"/>
    <cellStyle name="Comma 2 4 3 2 3 2" xfId="1213"/>
    <cellStyle name="Comma 2 4 3 2 3 2 2" xfId="1214"/>
    <cellStyle name="Comma 2 4 3 2 3 3" xfId="1215"/>
    <cellStyle name="Comma 2 4 3 2 4" xfId="1216"/>
    <cellStyle name="Comma 2 4 3 2 4 2" xfId="1217"/>
    <cellStyle name="Comma 2 4 3 2 5" xfId="1218"/>
    <cellStyle name="Comma 2 4 3 3" xfId="1219"/>
    <cellStyle name="Comma 2 4 3 3 2" xfId="1220"/>
    <cellStyle name="Comma 2 4 3 3 2 2" xfId="1221"/>
    <cellStyle name="Comma 2 4 3 3 3" xfId="1222"/>
    <cellStyle name="Comma 2 4 3 4" xfId="1223"/>
    <cellStyle name="Comma 2 4 3 4 2" xfId="1224"/>
    <cellStyle name="Comma 2 4 3 4 2 2" xfId="1225"/>
    <cellStyle name="Comma 2 4 3 4 3" xfId="1226"/>
    <cellStyle name="Comma 2 4 3 5" xfId="1227"/>
    <cellStyle name="Comma 2 4 3 5 2" xfId="1228"/>
    <cellStyle name="Comma 2 4 3 5 2 2" xfId="1229"/>
    <cellStyle name="Comma 2 4 3 5 3" xfId="1230"/>
    <cellStyle name="Comma 2 4 3 6" xfId="1231"/>
    <cellStyle name="Comma 2 4 3 6 2" xfId="1232"/>
    <cellStyle name="Comma 2 4 3 7" xfId="1233"/>
    <cellStyle name="Comma 2 4 4" xfId="508"/>
    <cellStyle name="Comma 2 4 4 2" xfId="1234"/>
    <cellStyle name="Comma 2 4 4 2 2" xfId="1235"/>
    <cellStyle name="Comma 2 4 4 2 2 2" xfId="1236"/>
    <cellStyle name="Comma 2 4 4 2 3" xfId="1237"/>
    <cellStyle name="Comma 2 4 4 3" xfId="1238"/>
    <cellStyle name="Comma 2 4 4 3 2" xfId="1239"/>
    <cellStyle name="Comma 2 4 4 3 2 2" xfId="1240"/>
    <cellStyle name="Comma 2 4 4 3 3" xfId="1241"/>
    <cellStyle name="Comma 2 4 4 4" xfId="1242"/>
    <cellStyle name="Comma 2 4 4 4 2" xfId="1243"/>
    <cellStyle name="Comma 2 4 4 5" xfId="1244"/>
    <cellStyle name="Comma 2 4 5" xfId="1245"/>
    <cellStyle name="Comma 2 4 5 2" xfId="1246"/>
    <cellStyle name="Comma 2 4 5 2 2" xfId="1247"/>
    <cellStyle name="Comma 2 4 5 3" xfId="1248"/>
    <cellStyle name="Comma 2 4 6" xfId="1249"/>
    <cellStyle name="Comma 2 4 6 2" xfId="1250"/>
    <cellStyle name="Comma 2 4 6 2 2" xfId="1251"/>
    <cellStyle name="Comma 2 4 6 3" xfId="1252"/>
    <cellStyle name="Comma 2 4 7" xfId="1253"/>
    <cellStyle name="Comma 2 4 7 2" xfId="1254"/>
    <cellStyle name="Comma 2 4 7 2 2" xfId="1255"/>
    <cellStyle name="Comma 2 4 7 3" xfId="1256"/>
    <cellStyle name="Comma 2 4 8" xfId="1257"/>
    <cellStyle name="Comma 2 4 8 2" xfId="1258"/>
    <cellStyle name="Comma 2 4 9" xfId="1259"/>
    <cellStyle name="Comma 2 5" xfId="333"/>
    <cellStyle name="Comma 2 5 2" xfId="334"/>
    <cellStyle name="Comma 2 5 2 2" xfId="427"/>
    <cellStyle name="Comma 2 5 2 2 2" xfId="597"/>
    <cellStyle name="Comma 2 5 2 2 2 2" xfId="1260"/>
    <cellStyle name="Comma 2 5 2 2 2 2 2" xfId="1261"/>
    <cellStyle name="Comma 2 5 2 2 2 3" xfId="1262"/>
    <cellStyle name="Comma 2 5 2 2 3" xfId="1263"/>
    <cellStyle name="Comma 2 5 2 2 3 2" xfId="1264"/>
    <cellStyle name="Comma 2 5 2 2 3 2 2" xfId="1265"/>
    <cellStyle name="Comma 2 5 2 2 3 3" xfId="1266"/>
    <cellStyle name="Comma 2 5 2 2 4" xfId="1267"/>
    <cellStyle name="Comma 2 5 2 2 4 2" xfId="1268"/>
    <cellStyle name="Comma 2 5 2 2 5" xfId="1269"/>
    <cellStyle name="Comma 2 5 2 3" xfId="511"/>
    <cellStyle name="Comma 2 5 2 3 2" xfId="1270"/>
    <cellStyle name="Comma 2 5 2 3 2 2" xfId="1271"/>
    <cellStyle name="Comma 2 5 2 3 3" xfId="1272"/>
    <cellStyle name="Comma 2 5 2 4" xfId="1273"/>
    <cellStyle name="Comma 2 5 2 4 2" xfId="1274"/>
    <cellStyle name="Comma 2 5 2 4 2 2" xfId="1275"/>
    <cellStyle name="Comma 2 5 2 4 3" xfId="1276"/>
    <cellStyle name="Comma 2 5 2 5" xfId="1277"/>
    <cellStyle name="Comma 2 5 2 5 2" xfId="1278"/>
    <cellStyle name="Comma 2 5 2 5 2 2" xfId="1279"/>
    <cellStyle name="Comma 2 5 2 5 3" xfId="1280"/>
    <cellStyle name="Comma 2 5 2 6" xfId="1281"/>
    <cellStyle name="Comma 2 5 2 6 2" xfId="1282"/>
    <cellStyle name="Comma 2 5 2 7" xfId="1283"/>
    <cellStyle name="Comma 2 5 3" xfId="426"/>
    <cellStyle name="Comma 2 5 3 2" xfId="596"/>
    <cellStyle name="Comma 2 5 3 2 2" xfId="1284"/>
    <cellStyle name="Comma 2 5 3 2 2 2" xfId="1285"/>
    <cellStyle name="Comma 2 5 3 2 3" xfId="1286"/>
    <cellStyle name="Comma 2 5 3 3" xfId="1287"/>
    <cellStyle name="Comma 2 5 3 3 2" xfId="1288"/>
    <cellStyle name="Comma 2 5 3 3 2 2" xfId="1289"/>
    <cellStyle name="Comma 2 5 3 3 3" xfId="1290"/>
    <cellStyle name="Comma 2 5 3 4" xfId="1291"/>
    <cellStyle name="Comma 2 5 3 4 2" xfId="1292"/>
    <cellStyle name="Comma 2 5 3 5" xfId="1293"/>
    <cellStyle name="Comma 2 5 4" xfId="510"/>
    <cellStyle name="Comma 2 5 4 2" xfId="1294"/>
    <cellStyle name="Comma 2 5 4 2 2" xfId="1295"/>
    <cellStyle name="Comma 2 5 4 3" xfId="1296"/>
    <cellStyle name="Comma 2 5 5" xfId="1297"/>
    <cellStyle name="Comma 2 5 5 2" xfId="1298"/>
    <cellStyle name="Comma 2 5 5 2 2" xfId="1299"/>
    <cellStyle name="Comma 2 5 5 3" xfId="1300"/>
    <cellStyle name="Comma 2 5 6" xfId="1301"/>
    <cellStyle name="Comma 2 5 6 2" xfId="1302"/>
    <cellStyle name="Comma 2 5 6 2 2" xfId="1303"/>
    <cellStyle name="Comma 2 5 6 3" xfId="1304"/>
    <cellStyle name="Comma 2 5 7" xfId="1305"/>
    <cellStyle name="Comma 2 5 7 2" xfId="1306"/>
    <cellStyle name="Comma 2 5 8" xfId="1307"/>
    <cellStyle name="Comma 2 6" xfId="335"/>
    <cellStyle name="Comma 2 6 2" xfId="428"/>
    <cellStyle name="Comma 2 6 2 2" xfId="598"/>
    <cellStyle name="Comma 2 6 2 2 2" xfId="1308"/>
    <cellStyle name="Comma 2 6 2 2 2 2" xfId="1309"/>
    <cellStyle name="Comma 2 6 2 2 3" xfId="1310"/>
    <cellStyle name="Comma 2 6 2 3" xfId="1311"/>
    <cellStyle name="Comma 2 6 2 3 2" xfId="1312"/>
    <cellStyle name="Comma 2 6 2 3 2 2" xfId="1313"/>
    <cellStyle name="Comma 2 6 2 3 3" xfId="1314"/>
    <cellStyle name="Comma 2 6 2 4" xfId="1315"/>
    <cellStyle name="Comma 2 6 2 4 2" xfId="1316"/>
    <cellStyle name="Comma 2 6 2 5" xfId="1317"/>
    <cellStyle name="Comma 2 6 3" xfId="512"/>
    <cellStyle name="Comma 2 6 3 2" xfId="1318"/>
    <cellStyle name="Comma 2 6 3 2 2" xfId="1319"/>
    <cellStyle name="Comma 2 6 3 3" xfId="1320"/>
    <cellStyle name="Comma 2 6 4" xfId="1321"/>
    <cellStyle name="Comma 2 6 4 2" xfId="1322"/>
    <cellStyle name="Comma 2 6 4 2 2" xfId="1323"/>
    <cellStyle name="Comma 2 6 4 3" xfId="1324"/>
    <cellStyle name="Comma 2 6 5" xfId="1325"/>
    <cellStyle name="Comma 2 6 5 2" xfId="1326"/>
    <cellStyle name="Comma 2 6 5 2 2" xfId="1327"/>
    <cellStyle name="Comma 2 6 5 3" xfId="1328"/>
    <cellStyle name="Comma 2 6 6" xfId="1329"/>
    <cellStyle name="Comma 2 6 6 2" xfId="1330"/>
    <cellStyle name="Comma 2 6 7" xfId="1331"/>
    <cellStyle name="Comma 2 7" xfId="417"/>
    <cellStyle name="Comma 2 7 2" xfId="587"/>
    <cellStyle name="Comma 2 7 2 2" xfId="1332"/>
    <cellStyle name="Comma 2 7 2 2 2" xfId="1333"/>
    <cellStyle name="Comma 2 7 2 3" xfId="1334"/>
    <cellStyle name="Comma 2 7 3" xfId="1335"/>
    <cellStyle name="Comma 2 7 3 2" xfId="1336"/>
    <cellStyle name="Comma 2 7 3 2 2" xfId="1337"/>
    <cellStyle name="Comma 2 7 3 3" xfId="1338"/>
    <cellStyle name="Comma 2 7 4" xfId="1339"/>
    <cellStyle name="Comma 2 7 4 2" xfId="1340"/>
    <cellStyle name="Comma 2 7 5" xfId="1341"/>
    <cellStyle name="Comma 2 8" xfId="501"/>
    <cellStyle name="Comma 2 8 2" xfId="1342"/>
    <cellStyle name="Comma 2 8 2 2" xfId="1343"/>
    <cellStyle name="Comma 2 8 3" xfId="1344"/>
    <cellStyle name="Comma 2 9" xfId="1345"/>
    <cellStyle name="Comma 2 9 2" xfId="1346"/>
    <cellStyle name="Comma 2 9 2 2" xfId="1347"/>
    <cellStyle name="Comma 2 9 3" xfId="1348"/>
    <cellStyle name="Comma 3" xfId="6"/>
    <cellStyle name="Comma 3 2" xfId="7"/>
    <cellStyle name="Comma 3 2 2" xfId="201"/>
    <cellStyle name="Comma 3 2 2 2" xfId="338"/>
    <cellStyle name="Comma 3 2 2 2 2" xfId="430"/>
    <cellStyle name="Comma 3 2 2 2 2 2" xfId="600"/>
    <cellStyle name="Comma 3 2 2 2 2 2 2" xfId="1349"/>
    <cellStyle name="Comma 3 2 2 2 2 2 2 2" xfId="1350"/>
    <cellStyle name="Comma 3 2 2 2 2 2 2 2 2" xfId="1351"/>
    <cellStyle name="Comma 3 2 2 2 2 2 2 3" xfId="1352"/>
    <cellStyle name="Comma 3 2 2 2 2 2 3" xfId="1353"/>
    <cellStyle name="Comma 3 2 2 2 2 2 3 2" xfId="1354"/>
    <cellStyle name="Comma 3 2 2 2 2 2 3 2 2" xfId="1355"/>
    <cellStyle name="Comma 3 2 2 2 2 2 3 3" xfId="1356"/>
    <cellStyle name="Comma 3 2 2 2 2 2 4" xfId="1357"/>
    <cellStyle name="Comma 3 2 2 2 2 2 4 2" xfId="1358"/>
    <cellStyle name="Comma 3 2 2 2 2 2 5" xfId="1359"/>
    <cellStyle name="Comma 3 2 2 2 2 3" xfId="1360"/>
    <cellStyle name="Comma 3 2 2 2 2 3 2" xfId="1361"/>
    <cellStyle name="Comma 3 2 2 2 2 3 2 2" xfId="1362"/>
    <cellStyle name="Comma 3 2 2 2 2 3 3" xfId="1363"/>
    <cellStyle name="Comma 3 2 2 2 2 4" xfId="1364"/>
    <cellStyle name="Comma 3 2 2 2 2 4 2" xfId="1365"/>
    <cellStyle name="Comma 3 2 2 2 2 4 2 2" xfId="1366"/>
    <cellStyle name="Comma 3 2 2 2 2 4 3" xfId="1367"/>
    <cellStyle name="Comma 3 2 2 2 2 5" xfId="1368"/>
    <cellStyle name="Comma 3 2 2 2 2 5 2" xfId="1369"/>
    <cellStyle name="Comma 3 2 2 2 2 5 2 2" xfId="1370"/>
    <cellStyle name="Comma 3 2 2 2 2 5 3" xfId="1371"/>
    <cellStyle name="Comma 3 2 2 2 2 6" xfId="1372"/>
    <cellStyle name="Comma 3 2 2 2 2 6 2" xfId="1373"/>
    <cellStyle name="Comma 3 2 2 2 2 7" xfId="1374"/>
    <cellStyle name="Comma 3 2 2 2 3" xfId="514"/>
    <cellStyle name="Comma 3 2 2 2 3 2" xfId="1375"/>
    <cellStyle name="Comma 3 2 2 2 3 2 2" xfId="1376"/>
    <cellStyle name="Comma 3 2 2 2 3 2 2 2" xfId="1377"/>
    <cellStyle name="Comma 3 2 2 2 3 2 3" xfId="1378"/>
    <cellStyle name="Comma 3 2 2 2 3 3" xfId="1379"/>
    <cellStyle name="Comma 3 2 2 2 3 3 2" xfId="1380"/>
    <cellStyle name="Comma 3 2 2 2 3 3 2 2" xfId="1381"/>
    <cellStyle name="Comma 3 2 2 2 3 3 3" xfId="1382"/>
    <cellStyle name="Comma 3 2 2 2 3 4" xfId="1383"/>
    <cellStyle name="Comma 3 2 2 2 3 4 2" xfId="1384"/>
    <cellStyle name="Comma 3 2 2 2 3 5" xfId="1385"/>
    <cellStyle name="Comma 3 2 2 2 4" xfId="1386"/>
    <cellStyle name="Comma 3 2 2 2 4 2" xfId="1387"/>
    <cellStyle name="Comma 3 2 2 2 4 2 2" xfId="1388"/>
    <cellStyle name="Comma 3 2 2 2 4 3" xfId="1389"/>
    <cellStyle name="Comma 3 2 2 2 5" xfId="1390"/>
    <cellStyle name="Comma 3 2 2 2 5 2" xfId="1391"/>
    <cellStyle name="Comma 3 2 2 2 5 2 2" xfId="1392"/>
    <cellStyle name="Comma 3 2 2 2 5 3" xfId="1393"/>
    <cellStyle name="Comma 3 2 2 2 6" xfId="1394"/>
    <cellStyle name="Comma 3 2 2 2 6 2" xfId="1395"/>
    <cellStyle name="Comma 3 2 2 2 6 2 2" xfId="1396"/>
    <cellStyle name="Comma 3 2 2 2 6 3" xfId="1397"/>
    <cellStyle name="Comma 3 2 2 2 7" xfId="1398"/>
    <cellStyle name="Comma 3 2 2 2 7 2" xfId="1399"/>
    <cellStyle name="Comma 3 2 2 2 8" xfId="1400"/>
    <cellStyle name="Comma 3 2 2 3" xfId="429"/>
    <cellStyle name="Comma 3 2 2 3 2" xfId="599"/>
    <cellStyle name="Comma 3 2 2 3 2 2" xfId="1401"/>
    <cellStyle name="Comma 3 2 2 3 2 2 2" xfId="1402"/>
    <cellStyle name="Comma 3 2 2 3 2 2 2 2" xfId="1403"/>
    <cellStyle name="Comma 3 2 2 3 2 2 3" xfId="1404"/>
    <cellStyle name="Comma 3 2 2 3 2 3" xfId="1405"/>
    <cellStyle name="Comma 3 2 2 3 2 3 2" xfId="1406"/>
    <cellStyle name="Comma 3 2 2 3 2 3 2 2" xfId="1407"/>
    <cellStyle name="Comma 3 2 2 3 2 3 3" xfId="1408"/>
    <cellStyle name="Comma 3 2 2 3 2 4" xfId="1409"/>
    <cellStyle name="Comma 3 2 2 3 2 4 2" xfId="1410"/>
    <cellStyle name="Comma 3 2 2 3 2 5" xfId="1411"/>
    <cellStyle name="Comma 3 2 2 3 3" xfId="1412"/>
    <cellStyle name="Comma 3 2 2 3 3 2" xfId="1413"/>
    <cellStyle name="Comma 3 2 2 3 3 2 2" xfId="1414"/>
    <cellStyle name="Comma 3 2 2 3 3 3" xfId="1415"/>
    <cellStyle name="Comma 3 2 2 3 4" xfId="1416"/>
    <cellStyle name="Comma 3 2 2 3 4 2" xfId="1417"/>
    <cellStyle name="Comma 3 2 2 3 4 2 2" xfId="1418"/>
    <cellStyle name="Comma 3 2 2 3 4 3" xfId="1419"/>
    <cellStyle name="Comma 3 2 2 3 5" xfId="1420"/>
    <cellStyle name="Comma 3 2 2 3 5 2" xfId="1421"/>
    <cellStyle name="Comma 3 2 2 3 5 2 2" xfId="1422"/>
    <cellStyle name="Comma 3 2 2 3 5 3" xfId="1423"/>
    <cellStyle name="Comma 3 2 2 3 6" xfId="1424"/>
    <cellStyle name="Comma 3 2 2 3 6 2" xfId="1425"/>
    <cellStyle name="Comma 3 2 2 3 7" xfId="1426"/>
    <cellStyle name="Comma 3 2 2 4" xfId="513"/>
    <cellStyle name="Comma 3 2 2 4 2" xfId="1427"/>
    <cellStyle name="Comma 3 2 2 4 2 2" xfId="1428"/>
    <cellStyle name="Comma 3 2 2 4 2 2 2" xfId="1429"/>
    <cellStyle name="Comma 3 2 2 4 2 3" xfId="1430"/>
    <cellStyle name="Comma 3 2 2 4 3" xfId="1431"/>
    <cellStyle name="Comma 3 2 2 4 3 2" xfId="1432"/>
    <cellStyle name="Comma 3 2 2 4 3 2 2" xfId="1433"/>
    <cellStyle name="Comma 3 2 2 4 3 3" xfId="1434"/>
    <cellStyle name="Comma 3 2 2 4 4" xfId="1435"/>
    <cellStyle name="Comma 3 2 2 4 4 2" xfId="1436"/>
    <cellStyle name="Comma 3 2 2 4 5" xfId="1437"/>
    <cellStyle name="Comma 3 2 2 5" xfId="1438"/>
    <cellStyle name="Comma 3 2 2 5 2" xfId="1439"/>
    <cellStyle name="Comma 3 2 2 5 2 2" xfId="1440"/>
    <cellStyle name="Comma 3 2 2 5 3" xfId="1441"/>
    <cellStyle name="Comma 3 2 2 6" xfId="1442"/>
    <cellStyle name="Comma 3 2 2 6 2" xfId="1443"/>
    <cellStyle name="Comma 3 2 2 6 2 2" xfId="1444"/>
    <cellStyle name="Comma 3 2 2 6 3" xfId="1445"/>
    <cellStyle name="Comma 3 2 2 7" xfId="1446"/>
    <cellStyle name="Comma 3 2 2 7 2" xfId="1447"/>
    <cellStyle name="Comma 3 2 2 7 2 2" xfId="1448"/>
    <cellStyle name="Comma 3 2 2 7 3" xfId="1449"/>
    <cellStyle name="Comma 3 2 2 8" xfId="1450"/>
    <cellStyle name="Comma 3 2 2 8 2" xfId="1451"/>
    <cellStyle name="Comma 3 2 2 9" xfId="1452"/>
    <cellStyle name="Comma 3 2 3" xfId="235"/>
    <cellStyle name="Comma 3 2 3 2" xfId="340"/>
    <cellStyle name="Comma 3 2 3 2 2" xfId="432"/>
    <cellStyle name="Comma 3 2 3 2 2 2" xfId="602"/>
    <cellStyle name="Comma 3 2 3 2 3" xfId="516"/>
    <cellStyle name="Comma 3 2 3 3" xfId="431"/>
    <cellStyle name="Comma 3 2 3 3 2" xfId="601"/>
    <cellStyle name="Comma 3 2 3 4" xfId="515"/>
    <cellStyle name="Comma 3 2 3 5" xfId="1453"/>
    <cellStyle name="Comma 3 2 3 5 2" xfId="3709"/>
    <cellStyle name="Comma 3 2 3 6" xfId="339"/>
    <cellStyle name="Comma 3 2 3 7" xfId="3566"/>
    <cellStyle name="Comma 3 2 4" xfId="173"/>
    <cellStyle name="Comma 3 2 4 2" xfId="835"/>
    <cellStyle name="Comma 3 2 4 2 2" xfId="3664"/>
    <cellStyle name="Comma 3 2 4 3" xfId="674"/>
    <cellStyle name="Comma 3 2 4 3 2" xfId="3622"/>
    <cellStyle name="Comma 3 2 4 4" xfId="3548"/>
    <cellStyle name="Comma 3 2 5" xfId="673"/>
    <cellStyle name="Comma 3 2 5 2" xfId="834"/>
    <cellStyle name="Comma 3 2 5 2 2" xfId="3663"/>
    <cellStyle name="Comma 3 2 5 3" xfId="3621"/>
    <cellStyle name="Comma 3 2 6" xfId="337"/>
    <cellStyle name="Comma 3 2 6 2" xfId="3600"/>
    <cellStyle name="Comma 3 3" xfId="200"/>
    <cellStyle name="Comma 3 3 2" xfId="341"/>
    <cellStyle name="Comma 3 3 2 2" xfId="434"/>
    <cellStyle name="Comma 3 3 2 2 2" xfId="604"/>
    <cellStyle name="Comma 3 3 2 2 2 2" xfId="1454"/>
    <cellStyle name="Comma 3 3 2 2 2 2 2" xfId="1455"/>
    <cellStyle name="Comma 3 3 2 2 2 2 2 2" xfId="1456"/>
    <cellStyle name="Comma 3 3 2 2 2 2 3" xfId="1457"/>
    <cellStyle name="Comma 3 3 2 2 2 3" xfId="1458"/>
    <cellStyle name="Comma 3 3 2 2 2 3 2" xfId="1459"/>
    <cellStyle name="Comma 3 3 2 2 2 3 2 2" xfId="1460"/>
    <cellStyle name="Comma 3 3 2 2 2 3 3" xfId="1461"/>
    <cellStyle name="Comma 3 3 2 2 2 4" xfId="1462"/>
    <cellStyle name="Comma 3 3 2 2 2 4 2" xfId="1463"/>
    <cellStyle name="Comma 3 3 2 2 2 5" xfId="1464"/>
    <cellStyle name="Comma 3 3 2 2 3" xfId="1465"/>
    <cellStyle name="Comma 3 3 2 2 3 2" xfId="1466"/>
    <cellStyle name="Comma 3 3 2 2 3 2 2" xfId="1467"/>
    <cellStyle name="Comma 3 3 2 2 3 3" xfId="1468"/>
    <cellStyle name="Comma 3 3 2 2 4" xfId="1469"/>
    <cellStyle name="Comma 3 3 2 2 4 2" xfId="1470"/>
    <cellStyle name="Comma 3 3 2 2 4 2 2" xfId="1471"/>
    <cellStyle name="Comma 3 3 2 2 4 3" xfId="1472"/>
    <cellStyle name="Comma 3 3 2 2 5" xfId="1473"/>
    <cellStyle name="Comma 3 3 2 2 5 2" xfId="1474"/>
    <cellStyle name="Comma 3 3 2 2 5 2 2" xfId="1475"/>
    <cellStyle name="Comma 3 3 2 2 5 3" xfId="1476"/>
    <cellStyle name="Comma 3 3 2 2 6" xfId="1477"/>
    <cellStyle name="Comma 3 3 2 2 6 2" xfId="1478"/>
    <cellStyle name="Comma 3 3 2 2 7" xfId="1479"/>
    <cellStyle name="Comma 3 3 2 3" xfId="518"/>
    <cellStyle name="Comma 3 3 2 3 2" xfId="1480"/>
    <cellStyle name="Comma 3 3 2 3 2 2" xfId="1481"/>
    <cellStyle name="Comma 3 3 2 3 2 2 2" xfId="1482"/>
    <cellStyle name="Comma 3 3 2 3 2 3" xfId="1483"/>
    <cellStyle name="Comma 3 3 2 3 3" xfId="1484"/>
    <cellStyle name="Comma 3 3 2 3 3 2" xfId="1485"/>
    <cellStyle name="Comma 3 3 2 3 3 2 2" xfId="1486"/>
    <cellStyle name="Comma 3 3 2 3 3 3" xfId="1487"/>
    <cellStyle name="Comma 3 3 2 3 4" xfId="1488"/>
    <cellStyle name="Comma 3 3 2 3 4 2" xfId="1489"/>
    <cellStyle name="Comma 3 3 2 3 5" xfId="1490"/>
    <cellStyle name="Comma 3 3 2 4" xfId="1491"/>
    <cellStyle name="Comma 3 3 2 4 2" xfId="1492"/>
    <cellStyle name="Comma 3 3 2 4 2 2" xfId="1493"/>
    <cellStyle name="Comma 3 3 2 4 3" xfId="1494"/>
    <cellStyle name="Comma 3 3 2 5" xfId="1495"/>
    <cellStyle name="Comma 3 3 2 5 2" xfId="1496"/>
    <cellStyle name="Comma 3 3 2 5 2 2" xfId="1497"/>
    <cellStyle name="Comma 3 3 2 5 3" xfId="1498"/>
    <cellStyle name="Comma 3 3 2 6" xfId="1499"/>
    <cellStyle name="Comma 3 3 2 6 2" xfId="1500"/>
    <cellStyle name="Comma 3 3 2 6 2 2" xfId="1501"/>
    <cellStyle name="Comma 3 3 2 6 3" xfId="1502"/>
    <cellStyle name="Comma 3 3 2 7" xfId="1503"/>
    <cellStyle name="Comma 3 3 2 7 2" xfId="1504"/>
    <cellStyle name="Comma 3 3 2 8" xfId="1505"/>
    <cellStyle name="Comma 3 3 3" xfId="433"/>
    <cellStyle name="Comma 3 3 3 2" xfId="603"/>
    <cellStyle name="Comma 3 3 3 2 2" xfId="1506"/>
    <cellStyle name="Comma 3 3 3 2 2 2" xfId="1507"/>
    <cellStyle name="Comma 3 3 3 2 2 2 2" xfId="1508"/>
    <cellStyle name="Comma 3 3 3 2 2 3" xfId="1509"/>
    <cellStyle name="Comma 3 3 3 2 3" xfId="1510"/>
    <cellStyle name="Comma 3 3 3 2 3 2" xfId="1511"/>
    <cellStyle name="Comma 3 3 3 2 3 2 2" xfId="1512"/>
    <cellStyle name="Comma 3 3 3 2 3 3" xfId="1513"/>
    <cellStyle name="Comma 3 3 3 2 4" xfId="1514"/>
    <cellStyle name="Comma 3 3 3 2 4 2" xfId="1515"/>
    <cellStyle name="Comma 3 3 3 2 5" xfId="1516"/>
    <cellStyle name="Comma 3 3 3 3" xfId="1517"/>
    <cellStyle name="Comma 3 3 3 3 2" xfId="1518"/>
    <cellStyle name="Comma 3 3 3 3 2 2" xfId="1519"/>
    <cellStyle name="Comma 3 3 3 3 3" xfId="1520"/>
    <cellStyle name="Comma 3 3 3 4" xfId="1521"/>
    <cellStyle name="Comma 3 3 3 4 2" xfId="1522"/>
    <cellStyle name="Comma 3 3 3 4 2 2" xfId="1523"/>
    <cellStyle name="Comma 3 3 3 4 3" xfId="1524"/>
    <cellStyle name="Comma 3 3 3 5" xfId="1525"/>
    <cellStyle name="Comma 3 3 3 5 2" xfId="1526"/>
    <cellStyle name="Comma 3 3 3 5 2 2" xfId="1527"/>
    <cellStyle name="Comma 3 3 3 5 3" xfId="1528"/>
    <cellStyle name="Comma 3 3 3 6" xfId="1529"/>
    <cellStyle name="Comma 3 3 3 6 2" xfId="1530"/>
    <cellStyle name="Comma 3 3 3 7" xfId="1531"/>
    <cellStyle name="Comma 3 3 4" xfId="517"/>
    <cellStyle name="Comma 3 3 4 2" xfId="1532"/>
    <cellStyle name="Comma 3 3 4 2 2" xfId="1533"/>
    <cellStyle name="Comma 3 3 4 2 2 2" xfId="1534"/>
    <cellStyle name="Comma 3 3 4 2 3" xfId="1535"/>
    <cellStyle name="Comma 3 3 4 3" xfId="1536"/>
    <cellStyle name="Comma 3 3 4 3 2" xfId="1537"/>
    <cellStyle name="Comma 3 3 4 3 2 2" xfId="1538"/>
    <cellStyle name="Comma 3 3 4 3 3" xfId="1539"/>
    <cellStyle name="Comma 3 3 4 4" xfId="1540"/>
    <cellStyle name="Comma 3 3 4 4 2" xfId="1541"/>
    <cellStyle name="Comma 3 3 4 5" xfId="1542"/>
    <cellStyle name="Comma 3 3 5" xfId="1543"/>
    <cellStyle name="Comma 3 3 5 2" xfId="1544"/>
    <cellStyle name="Comma 3 3 5 2 2" xfId="1545"/>
    <cellStyle name="Comma 3 3 5 3" xfId="1546"/>
    <cellStyle name="Comma 3 3 6" xfId="1547"/>
    <cellStyle name="Comma 3 3 6 2" xfId="1548"/>
    <cellStyle name="Comma 3 3 6 2 2" xfId="1549"/>
    <cellStyle name="Comma 3 3 6 3" xfId="1550"/>
    <cellStyle name="Comma 3 3 7" xfId="1551"/>
    <cellStyle name="Comma 3 3 7 2" xfId="1552"/>
    <cellStyle name="Comma 3 3 7 2 2" xfId="1553"/>
    <cellStyle name="Comma 3 3 7 3" xfId="1554"/>
    <cellStyle name="Comma 3 3 8" xfId="1555"/>
    <cellStyle name="Comma 3 3 8 2" xfId="1556"/>
    <cellStyle name="Comma 3 3 9" xfId="1557"/>
    <cellStyle name="Comma 3 4" xfId="234"/>
    <cellStyle name="Comma 3 4 2" xfId="343"/>
    <cellStyle name="Comma 3 4 2 2" xfId="436"/>
    <cellStyle name="Comma 3 4 2 2 2" xfId="606"/>
    <cellStyle name="Comma 3 4 2 3" xfId="520"/>
    <cellStyle name="Comma 3 4 3" xfId="435"/>
    <cellStyle name="Comma 3 4 3 2" xfId="605"/>
    <cellStyle name="Comma 3 4 4" xfId="519"/>
    <cellStyle name="Comma 3 4 5" xfId="1558"/>
    <cellStyle name="Comma 3 4 5 2" xfId="3710"/>
    <cellStyle name="Comma 3 4 6" xfId="342"/>
    <cellStyle name="Comma 3 4 7" xfId="3565"/>
    <cellStyle name="Comma 3 5" xfId="172"/>
    <cellStyle name="Comma 3 5 2" xfId="836"/>
    <cellStyle name="Comma 3 5 2 2" xfId="3665"/>
    <cellStyle name="Comma 3 5 3" xfId="675"/>
    <cellStyle name="Comma 3 5 3 2" xfId="3623"/>
    <cellStyle name="Comma 3 5 4" xfId="3547"/>
    <cellStyle name="Comma 3 6" xfId="672"/>
    <cellStyle name="Comma 3 6 2" xfId="833"/>
    <cellStyle name="Comma 3 6 2 2" xfId="3662"/>
    <cellStyle name="Comma 3 6 3" xfId="3620"/>
    <cellStyle name="Comma 3 7" xfId="336"/>
    <cellStyle name="Comma 3 7 2" xfId="3599"/>
    <cellStyle name="Currency 2" xfId="8"/>
    <cellStyle name="Currency 2 2" xfId="9"/>
    <cellStyle name="Currency 3" xfId="10"/>
    <cellStyle name="Currency 3 2" xfId="11"/>
    <cellStyle name="Énfasis1 2" xfId="12"/>
    <cellStyle name="Énfasis1 3" xfId="13"/>
    <cellStyle name="Énfasis1 4" xfId="755"/>
    <cellStyle name="Énfasis1 5" xfId="345"/>
    <cellStyle name="Euro" xfId="14"/>
    <cellStyle name="Euro 2" xfId="15"/>
    <cellStyle name="Euro 2 2" xfId="16"/>
    <cellStyle name="Euro 2 2 2" xfId="757"/>
    <cellStyle name="Euro 2 3" xfId="756"/>
    <cellStyle name="Euro 3" xfId="17"/>
    <cellStyle name="Euro 4" xfId="18"/>
    <cellStyle name="Euro 4 2" xfId="758"/>
    <cellStyle name="Euro 5" xfId="19"/>
    <cellStyle name="Excel Built-in Normal" xfId="20"/>
    <cellStyle name="Excel Built-in Normal 2" xfId="299"/>
    <cellStyle name="HeaderStyle" xfId="3528"/>
    <cellStyle name="Hipervínculo 2" xfId="21"/>
    <cellStyle name="Hipervínculo 2 2" xfId="22"/>
    <cellStyle name="Hipervínculo 3" xfId="23"/>
    <cellStyle name="Millares" xfId="24" builtinId="3"/>
    <cellStyle name="Millares [0]" xfId="3516" builtinId="6"/>
    <cellStyle name="Millares [0] 2" xfId="300"/>
    <cellStyle name="Millares [0] 2 2" xfId="319"/>
    <cellStyle name="Millares [0] 2 2 2" xfId="3474"/>
    <cellStyle name="Millares [0] 2 2 2 2" xfId="3739"/>
    <cellStyle name="Millares [0] 2 2 3" xfId="3504"/>
    <cellStyle name="Millares [0] 2 2 3 2" xfId="3764"/>
    <cellStyle name="Millares [0] 2 2 4" xfId="3592"/>
    <cellStyle name="Millares [0] 2 3" xfId="325"/>
    <cellStyle name="Millares [0] 2 3 2" xfId="3598"/>
    <cellStyle name="Millares [0] 2 4" xfId="3486"/>
    <cellStyle name="Millares [0] 2 4 2" xfId="3751"/>
    <cellStyle name="Millares [0] 2 5" xfId="3585"/>
    <cellStyle name="Millares [0] 20" xfId="3526"/>
    <cellStyle name="Millares [0] 20 2" xfId="3535"/>
    <cellStyle name="Millares [0] 20 2 2" xfId="3782"/>
    <cellStyle name="Millares [0] 20 3" xfId="3779"/>
    <cellStyle name="Millares [0] 3" xfId="945"/>
    <cellStyle name="Millares [0] 3 2" xfId="3511"/>
    <cellStyle name="Millares [0] 3 2 2" xfId="3770"/>
    <cellStyle name="Millares [0] 3 3" xfId="3495"/>
    <cellStyle name="Millares [0] 3 3 2" xfId="3756"/>
    <cellStyle name="Millares [0] 3 4" xfId="3707"/>
    <cellStyle name="Millares [0] 4" xfId="3499"/>
    <cellStyle name="Millares [0] 4 2" xfId="3760"/>
    <cellStyle name="Millares [0] 5" xfId="3482"/>
    <cellStyle name="Millares [0] 5 2" xfId="3747"/>
    <cellStyle name="Millares [0] 6" xfId="3774"/>
    <cellStyle name="Millares 10" xfId="25"/>
    <cellStyle name="Millares 10 2" xfId="26"/>
    <cellStyle name="Millares 10 2 2" xfId="27"/>
    <cellStyle name="Millares 10 3" xfId="28"/>
    <cellStyle name="Millares 10 3 2" xfId="760"/>
    <cellStyle name="Millares 10 4" xfId="759"/>
    <cellStyle name="Millares 10 5" xfId="3506"/>
    <cellStyle name="Millares 10 5 2" xfId="3766"/>
    <cellStyle name="Millares 10 6" xfId="323"/>
    <cellStyle name="Millares 10 6 2" xfId="3478"/>
    <cellStyle name="Millares 10 6 2 2" xfId="3743"/>
    <cellStyle name="Millares 10 6 3" xfId="3596"/>
    <cellStyle name="Millares 11" xfId="29"/>
    <cellStyle name="Millares 11 2" xfId="30"/>
    <cellStyle name="Millares 11 2 2" xfId="31"/>
    <cellStyle name="Millares 11 2 2 10" xfId="3546"/>
    <cellStyle name="Millares 11 2 2 2" xfId="203"/>
    <cellStyle name="Millares 11 2 2 2 2" xfId="267"/>
    <cellStyle name="Millares 11 2 2 2 2 2" xfId="680"/>
    <cellStyle name="Millares 11 2 2 2 2 2 2" xfId="841"/>
    <cellStyle name="Millares 11 2 2 2 2 2 2 2" xfId="3670"/>
    <cellStyle name="Millares 11 2 2 2 2 2 3" xfId="3628"/>
    <cellStyle name="Millares 11 2 2 2 2 3" xfId="820"/>
    <cellStyle name="Millares 11 2 2 2 2 3 2" xfId="3661"/>
    <cellStyle name="Millares 11 2 2 2 2 4" xfId="607"/>
    <cellStyle name="Millares 11 2 2 2 2 4 2" xfId="3619"/>
    <cellStyle name="Millares 11 2 2 2 2 5" xfId="3583"/>
    <cellStyle name="Millares 11 2 2 2 3" xfId="679"/>
    <cellStyle name="Millares 11 2 2 2 3 2" xfId="840"/>
    <cellStyle name="Millares 11 2 2 2 3 2 2" xfId="3669"/>
    <cellStyle name="Millares 11 2 2 2 3 3" xfId="3627"/>
    <cellStyle name="Millares 11 2 2 2 4" xfId="793"/>
    <cellStyle name="Millares 11 2 2 2 4 2" xfId="3659"/>
    <cellStyle name="Millares 11 2 2 2 5" xfId="1561"/>
    <cellStyle name="Millares 11 2 2 2 5 2" xfId="3713"/>
    <cellStyle name="Millares 11 2 2 2 6" xfId="437"/>
    <cellStyle name="Millares 11 2 2 2 6 2" xfId="3617"/>
    <cellStyle name="Millares 11 2 2 2 7" xfId="3563"/>
    <cellStyle name="Millares 11 2 2 3" xfId="238"/>
    <cellStyle name="Millares 11 2 2 3 2" xfId="681"/>
    <cellStyle name="Millares 11 2 2 3 2 2" xfId="842"/>
    <cellStyle name="Millares 11 2 2 3 2 2 2" xfId="3671"/>
    <cellStyle name="Millares 11 2 2 3 2 3" xfId="3629"/>
    <cellStyle name="Millares 11 2 2 3 3" xfId="806"/>
    <cellStyle name="Millares 11 2 2 3 3 2" xfId="3660"/>
    <cellStyle name="Millares 11 2 2 3 4" xfId="1562"/>
    <cellStyle name="Millares 11 2 2 3 4 2" xfId="3714"/>
    <cellStyle name="Millares 11 2 2 3 5" xfId="521"/>
    <cellStyle name="Millares 11 2 2 3 5 2" xfId="3618"/>
    <cellStyle name="Millares 11 2 2 3 6" xfId="3569"/>
    <cellStyle name="Millares 11 2 2 4" xfId="176"/>
    <cellStyle name="Millares 11 2 2 4 2" xfId="843"/>
    <cellStyle name="Millares 11 2 2 4 2 2" xfId="3672"/>
    <cellStyle name="Millares 11 2 2 4 3" xfId="682"/>
    <cellStyle name="Millares 11 2 2 4 3 2" xfId="3630"/>
    <cellStyle name="Millares 11 2 2 4 4" xfId="3551"/>
    <cellStyle name="Millares 11 2 2 5" xfId="678"/>
    <cellStyle name="Millares 11 2 2 5 2" xfId="839"/>
    <cellStyle name="Millares 11 2 2 5 2 2" xfId="3668"/>
    <cellStyle name="Millares 11 2 2 5 3" xfId="3626"/>
    <cellStyle name="Millares 11 2 2 6" xfId="761"/>
    <cellStyle name="Millares 11 2 2 6 2" xfId="921"/>
    <cellStyle name="Millares 11 2 2 6 2 2" xfId="3700"/>
    <cellStyle name="Millares 11 2 2 6 3" xfId="3656"/>
    <cellStyle name="Millares 11 2 2 7" xfId="779"/>
    <cellStyle name="Millares 11 2 2 7 2" xfId="3658"/>
    <cellStyle name="Millares 11 2 2 8" xfId="1560"/>
    <cellStyle name="Millares 11 2 2 8 2" xfId="3712"/>
    <cellStyle name="Millares 11 2 2 9" xfId="349"/>
    <cellStyle name="Millares 11 2 2 9 2" xfId="3604"/>
    <cellStyle name="Millares 11 2 3" xfId="32"/>
    <cellStyle name="Millares 11 2 3 2" xfId="350"/>
    <cellStyle name="Millares 11 2 3 2 2" xfId="439"/>
    <cellStyle name="Millares 11 2 3 2 2 2" xfId="609"/>
    <cellStyle name="Millares 11 2 3 2 2 2 2" xfId="1563"/>
    <cellStyle name="Millares 11 2 3 2 2 2 2 2" xfId="1564"/>
    <cellStyle name="Millares 11 2 3 2 2 2 2 2 2" xfId="1565"/>
    <cellStyle name="Millares 11 2 3 2 2 2 2 3" xfId="1566"/>
    <cellStyle name="Millares 11 2 3 2 2 2 3" xfId="1567"/>
    <cellStyle name="Millares 11 2 3 2 2 2 3 2" xfId="1568"/>
    <cellStyle name="Millares 11 2 3 2 2 2 3 2 2" xfId="1569"/>
    <cellStyle name="Millares 11 2 3 2 2 2 3 3" xfId="1570"/>
    <cellStyle name="Millares 11 2 3 2 2 2 4" xfId="1571"/>
    <cellStyle name="Millares 11 2 3 2 2 2 4 2" xfId="1572"/>
    <cellStyle name="Millares 11 2 3 2 2 2 5" xfId="1573"/>
    <cellStyle name="Millares 11 2 3 2 2 3" xfId="1574"/>
    <cellStyle name="Millares 11 2 3 2 2 3 2" xfId="1575"/>
    <cellStyle name="Millares 11 2 3 2 2 3 2 2" xfId="1576"/>
    <cellStyle name="Millares 11 2 3 2 2 3 3" xfId="1577"/>
    <cellStyle name="Millares 11 2 3 2 2 4" xfId="1578"/>
    <cellStyle name="Millares 11 2 3 2 2 4 2" xfId="1579"/>
    <cellStyle name="Millares 11 2 3 2 2 4 2 2" xfId="1580"/>
    <cellStyle name="Millares 11 2 3 2 2 4 3" xfId="1581"/>
    <cellStyle name="Millares 11 2 3 2 2 5" xfId="1582"/>
    <cellStyle name="Millares 11 2 3 2 2 5 2" xfId="1583"/>
    <cellStyle name="Millares 11 2 3 2 2 5 2 2" xfId="1584"/>
    <cellStyle name="Millares 11 2 3 2 2 5 3" xfId="1585"/>
    <cellStyle name="Millares 11 2 3 2 2 6" xfId="1586"/>
    <cellStyle name="Millares 11 2 3 2 2 6 2" xfId="1587"/>
    <cellStyle name="Millares 11 2 3 2 2 7" xfId="1588"/>
    <cellStyle name="Millares 11 2 3 2 3" xfId="523"/>
    <cellStyle name="Millares 11 2 3 2 3 2" xfId="1589"/>
    <cellStyle name="Millares 11 2 3 2 3 2 2" xfId="1590"/>
    <cellStyle name="Millares 11 2 3 2 3 2 2 2" xfId="1591"/>
    <cellStyle name="Millares 11 2 3 2 3 2 3" xfId="1592"/>
    <cellStyle name="Millares 11 2 3 2 3 3" xfId="1593"/>
    <cellStyle name="Millares 11 2 3 2 3 3 2" xfId="1594"/>
    <cellStyle name="Millares 11 2 3 2 3 3 2 2" xfId="1595"/>
    <cellStyle name="Millares 11 2 3 2 3 3 3" xfId="1596"/>
    <cellStyle name="Millares 11 2 3 2 3 4" xfId="1597"/>
    <cellStyle name="Millares 11 2 3 2 3 4 2" xfId="1598"/>
    <cellStyle name="Millares 11 2 3 2 3 5" xfId="1599"/>
    <cellStyle name="Millares 11 2 3 2 4" xfId="1600"/>
    <cellStyle name="Millares 11 2 3 2 4 2" xfId="1601"/>
    <cellStyle name="Millares 11 2 3 2 4 2 2" xfId="1602"/>
    <cellStyle name="Millares 11 2 3 2 4 3" xfId="1603"/>
    <cellStyle name="Millares 11 2 3 2 5" xfId="1604"/>
    <cellStyle name="Millares 11 2 3 2 5 2" xfId="1605"/>
    <cellStyle name="Millares 11 2 3 2 5 2 2" xfId="1606"/>
    <cellStyle name="Millares 11 2 3 2 5 3" xfId="1607"/>
    <cellStyle name="Millares 11 2 3 2 6" xfId="1608"/>
    <cellStyle name="Millares 11 2 3 2 6 2" xfId="1609"/>
    <cellStyle name="Millares 11 2 3 2 6 2 2" xfId="1610"/>
    <cellStyle name="Millares 11 2 3 2 6 3" xfId="1611"/>
    <cellStyle name="Millares 11 2 3 2 7" xfId="1612"/>
    <cellStyle name="Millares 11 2 3 2 7 2" xfId="1613"/>
    <cellStyle name="Millares 11 2 3 2 8" xfId="1614"/>
    <cellStyle name="Millares 11 2 3 3" xfId="438"/>
    <cellStyle name="Millares 11 2 3 3 2" xfId="608"/>
    <cellStyle name="Millares 11 2 3 3 2 2" xfId="1615"/>
    <cellStyle name="Millares 11 2 3 3 2 2 2" xfId="1616"/>
    <cellStyle name="Millares 11 2 3 3 2 2 2 2" xfId="1617"/>
    <cellStyle name="Millares 11 2 3 3 2 2 3" xfId="1618"/>
    <cellStyle name="Millares 11 2 3 3 2 3" xfId="1619"/>
    <cellStyle name="Millares 11 2 3 3 2 3 2" xfId="1620"/>
    <cellStyle name="Millares 11 2 3 3 2 3 2 2" xfId="1621"/>
    <cellStyle name="Millares 11 2 3 3 2 3 3" xfId="1622"/>
    <cellStyle name="Millares 11 2 3 3 2 4" xfId="1623"/>
    <cellStyle name="Millares 11 2 3 3 2 4 2" xfId="1624"/>
    <cellStyle name="Millares 11 2 3 3 2 5" xfId="1625"/>
    <cellStyle name="Millares 11 2 3 3 3" xfId="1626"/>
    <cellStyle name="Millares 11 2 3 3 3 2" xfId="1627"/>
    <cellStyle name="Millares 11 2 3 3 3 2 2" xfId="1628"/>
    <cellStyle name="Millares 11 2 3 3 3 3" xfId="1629"/>
    <cellStyle name="Millares 11 2 3 3 4" xfId="1630"/>
    <cellStyle name="Millares 11 2 3 3 4 2" xfId="1631"/>
    <cellStyle name="Millares 11 2 3 3 4 2 2" xfId="1632"/>
    <cellStyle name="Millares 11 2 3 3 4 3" xfId="1633"/>
    <cellStyle name="Millares 11 2 3 3 5" xfId="1634"/>
    <cellStyle name="Millares 11 2 3 3 5 2" xfId="1635"/>
    <cellStyle name="Millares 11 2 3 3 5 2 2" xfId="1636"/>
    <cellStyle name="Millares 11 2 3 3 5 3" xfId="1637"/>
    <cellStyle name="Millares 11 2 3 3 6" xfId="1638"/>
    <cellStyle name="Millares 11 2 3 3 6 2" xfId="1639"/>
    <cellStyle name="Millares 11 2 3 3 7" xfId="1640"/>
    <cellStyle name="Millares 11 2 3 4" xfId="522"/>
    <cellStyle name="Millares 11 2 3 4 2" xfId="1641"/>
    <cellStyle name="Millares 11 2 3 4 2 2" xfId="1642"/>
    <cellStyle name="Millares 11 2 3 4 2 2 2" xfId="1643"/>
    <cellStyle name="Millares 11 2 3 4 2 3" xfId="1644"/>
    <cellStyle name="Millares 11 2 3 4 3" xfId="1645"/>
    <cellStyle name="Millares 11 2 3 4 3 2" xfId="1646"/>
    <cellStyle name="Millares 11 2 3 4 3 2 2" xfId="1647"/>
    <cellStyle name="Millares 11 2 3 4 3 3" xfId="1648"/>
    <cellStyle name="Millares 11 2 3 4 4" xfId="1649"/>
    <cellStyle name="Millares 11 2 3 4 4 2" xfId="1650"/>
    <cellStyle name="Millares 11 2 3 4 5" xfId="1651"/>
    <cellStyle name="Millares 11 2 3 5" xfId="1652"/>
    <cellStyle name="Millares 11 2 3 5 2" xfId="1653"/>
    <cellStyle name="Millares 11 2 3 5 2 2" xfId="1654"/>
    <cellStyle name="Millares 11 2 3 5 3" xfId="1655"/>
    <cellStyle name="Millares 11 2 3 6" xfId="1656"/>
    <cellStyle name="Millares 11 2 3 6 2" xfId="1657"/>
    <cellStyle name="Millares 11 2 3 6 2 2" xfId="1658"/>
    <cellStyle name="Millares 11 2 3 6 3" xfId="1659"/>
    <cellStyle name="Millares 11 2 3 7" xfId="1660"/>
    <cellStyle name="Millares 11 2 3 7 2" xfId="1661"/>
    <cellStyle name="Millares 11 2 3 7 2 2" xfId="1662"/>
    <cellStyle name="Millares 11 2 3 7 3" xfId="1663"/>
    <cellStyle name="Millares 11 2 3 8" xfId="1664"/>
    <cellStyle name="Millares 11 2 3 8 2" xfId="1665"/>
    <cellStyle name="Millares 11 2 3 9" xfId="1666"/>
    <cellStyle name="Millares 11 2 4" xfId="237"/>
    <cellStyle name="Millares 11 2 4 2" xfId="352"/>
    <cellStyle name="Millares 11 2 4 2 2" xfId="441"/>
    <cellStyle name="Millares 11 2 4 2 2 2" xfId="611"/>
    <cellStyle name="Millares 11 2 4 2 3" xfId="525"/>
    <cellStyle name="Millares 11 2 4 3" xfId="440"/>
    <cellStyle name="Millares 11 2 4 3 2" xfId="610"/>
    <cellStyle name="Millares 11 2 4 4" xfId="524"/>
    <cellStyle name="Millares 11 2 4 5" xfId="1667"/>
    <cellStyle name="Millares 11 2 4 5 2" xfId="3715"/>
    <cellStyle name="Millares 11 2 4 6" xfId="351"/>
    <cellStyle name="Millares 11 2 4 7" xfId="3568"/>
    <cellStyle name="Millares 11 2 5" xfId="175"/>
    <cellStyle name="Millares 11 2 5 2" xfId="844"/>
    <cellStyle name="Millares 11 2 5 2 2" xfId="3673"/>
    <cellStyle name="Millares 11 2 5 3" xfId="683"/>
    <cellStyle name="Millares 11 2 5 3 2" xfId="3631"/>
    <cellStyle name="Millares 11 2 5 4" xfId="3550"/>
    <cellStyle name="Millares 11 2 6" xfId="677"/>
    <cellStyle name="Millares 11 2 6 2" xfId="838"/>
    <cellStyle name="Millares 11 2 6 2 2" xfId="3667"/>
    <cellStyle name="Millares 11 2 6 3" xfId="3625"/>
    <cellStyle name="Millares 11 2 7" xfId="348"/>
    <cellStyle name="Millares 11 2 7 2" xfId="3603"/>
    <cellStyle name="Millares 11 3" xfId="202"/>
    <cellStyle name="Millares 11 3 2" xfId="353"/>
    <cellStyle name="Millares 11 3 2 2" xfId="443"/>
    <cellStyle name="Millares 11 3 2 2 2" xfId="613"/>
    <cellStyle name="Millares 11 3 2 2 2 2" xfId="1668"/>
    <cellStyle name="Millares 11 3 2 2 2 2 2" xfId="1669"/>
    <cellStyle name="Millares 11 3 2 2 2 2 2 2" xfId="1670"/>
    <cellStyle name="Millares 11 3 2 2 2 2 3" xfId="1671"/>
    <cellStyle name="Millares 11 3 2 2 2 3" xfId="1672"/>
    <cellStyle name="Millares 11 3 2 2 2 3 2" xfId="1673"/>
    <cellStyle name="Millares 11 3 2 2 2 3 2 2" xfId="1674"/>
    <cellStyle name="Millares 11 3 2 2 2 3 3" xfId="1675"/>
    <cellStyle name="Millares 11 3 2 2 2 4" xfId="1676"/>
    <cellStyle name="Millares 11 3 2 2 2 4 2" xfId="1677"/>
    <cellStyle name="Millares 11 3 2 2 2 5" xfId="1678"/>
    <cellStyle name="Millares 11 3 2 2 3" xfId="1679"/>
    <cellStyle name="Millares 11 3 2 2 3 2" xfId="1680"/>
    <cellStyle name="Millares 11 3 2 2 3 2 2" xfId="1681"/>
    <cellStyle name="Millares 11 3 2 2 3 3" xfId="1682"/>
    <cellStyle name="Millares 11 3 2 2 4" xfId="1683"/>
    <cellStyle name="Millares 11 3 2 2 4 2" xfId="1684"/>
    <cellStyle name="Millares 11 3 2 2 4 2 2" xfId="1685"/>
    <cellStyle name="Millares 11 3 2 2 4 3" xfId="1686"/>
    <cellStyle name="Millares 11 3 2 2 5" xfId="1687"/>
    <cellStyle name="Millares 11 3 2 2 5 2" xfId="1688"/>
    <cellStyle name="Millares 11 3 2 2 5 2 2" xfId="1689"/>
    <cellStyle name="Millares 11 3 2 2 5 3" xfId="1690"/>
    <cellStyle name="Millares 11 3 2 2 6" xfId="1691"/>
    <cellStyle name="Millares 11 3 2 2 6 2" xfId="1692"/>
    <cellStyle name="Millares 11 3 2 2 7" xfId="1693"/>
    <cellStyle name="Millares 11 3 2 3" xfId="527"/>
    <cellStyle name="Millares 11 3 2 3 2" xfId="1694"/>
    <cellStyle name="Millares 11 3 2 3 2 2" xfId="1695"/>
    <cellStyle name="Millares 11 3 2 3 2 2 2" xfId="1696"/>
    <cellStyle name="Millares 11 3 2 3 2 3" xfId="1697"/>
    <cellStyle name="Millares 11 3 2 3 3" xfId="1698"/>
    <cellStyle name="Millares 11 3 2 3 3 2" xfId="1699"/>
    <cellStyle name="Millares 11 3 2 3 3 2 2" xfId="1700"/>
    <cellStyle name="Millares 11 3 2 3 3 3" xfId="1701"/>
    <cellStyle name="Millares 11 3 2 3 4" xfId="1702"/>
    <cellStyle name="Millares 11 3 2 3 4 2" xfId="1703"/>
    <cellStyle name="Millares 11 3 2 3 5" xfId="1704"/>
    <cellStyle name="Millares 11 3 2 4" xfId="1705"/>
    <cellStyle name="Millares 11 3 2 4 2" xfId="1706"/>
    <cellStyle name="Millares 11 3 2 4 2 2" xfId="1707"/>
    <cellStyle name="Millares 11 3 2 4 3" xfId="1708"/>
    <cellStyle name="Millares 11 3 2 5" xfId="1709"/>
    <cellStyle name="Millares 11 3 2 5 2" xfId="1710"/>
    <cellStyle name="Millares 11 3 2 5 2 2" xfId="1711"/>
    <cellStyle name="Millares 11 3 2 5 3" xfId="1712"/>
    <cellStyle name="Millares 11 3 2 6" xfId="1713"/>
    <cellStyle name="Millares 11 3 2 6 2" xfId="1714"/>
    <cellStyle name="Millares 11 3 2 6 2 2" xfId="1715"/>
    <cellStyle name="Millares 11 3 2 6 3" xfId="1716"/>
    <cellStyle name="Millares 11 3 2 7" xfId="1717"/>
    <cellStyle name="Millares 11 3 2 7 2" xfId="1718"/>
    <cellStyle name="Millares 11 3 2 8" xfId="1719"/>
    <cellStyle name="Millares 11 3 3" xfId="442"/>
    <cellStyle name="Millares 11 3 3 2" xfId="612"/>
    <cellStyle name="Millares 11 3 3 2 2" xfId="1720"/>
    <cellStyle name="Millares 11 3 3 2 2 2" xfId="1721"/>
    <cellStyle name="Millares 11 3 3 2 2 2 2" xfId="1722"/>
    <cellStyle name="Millares 11 3 3 2 2 3" xfId="1723"/>
    <cellStyle name="Millares 11 3 3 2 3" xfId="1724"/>
    <cellStyle name="Millares 11 3 3 2 3 2" xfId="1725"/>
    <cellStyle name="Millares 11 3 3 2 3 2 2" xfId="1726"/>
    <cellStyle name="Millares 11 3 3 2 3 3" xfId="1727"/>
    <cellStyle name="Millares 11 3 3 2 4" xfId="1728"/>
    <cellStyle name="Millares 11 3 3 2 4 2" xfId="1729"/>
    <cellStyle name="Millares 11 3 3 2 5" xfId="1730"/>
    <cellStyle name="Millares 11 3 3 3" xfId="1731"/>
    <cellStyle name="Millares 11 3 3 3 2" xfId="1732"/>
    <cellStyle name="Millares 11 3 3 3 2 2" xfId="1733"/>
    <cellStyle name="Millares 11 3 3 3 3" xfId="1734"/>
    <cellStyle name="Millares 11 3 3 4" xfId="1735"/>
    <cellStyle name="Millares 11 3 3 4 2" xfId="1736"/>
    <cellStyle name="Millares 11 3 3 4 2 2" xfId="1737"/>
    <cellStyle name="Millares 11 3 3 4 3" xfId="1738"/>
    <cellStyle name="Millares 11 3 3 5" xfId="1739"/>
    <cellStyle name="Millares 11 3 3 5 2" xfId="1740"/>
    <cellStyle name="Millares 11 3 3 5 2 2" xfId="1741"/>
    <cellStyle name="Millares 11 3 3 5 3" xfId="1742"/>
    <cellStyle name="Millares 11 3 3 6" xfId="1743"/>
    <cellStyle name="Millares 11 3 3 6 2" xfId="1744"/>
    <cellStyle name="Millares 11 3 3 7" xfId="1745"/>
    <cellStyle name="Millares 11 3 4" xfId="526"/>
    <cellStyle name="Millares 11 3 4 2" xfId="1746"/>
    <cellStyle name="Millares 11 3 4 2 2" xfId="1747"/>
    <cellStyle name="Millares 11 3 4 2 2 2" xfId="1748"/>
    <cellStyle name="Millares 11 3 4 2 3" xfId="1749"/>
    <cellStyle name="Millares 11 3 4 3" xfId="1750"/>
    <cellStyle name="Millares 11 3 4 3 2" xfId="1751"/>
    <cellStyle name="Millares 11 3 4 3 2 2" xfId="1752"/>
    <cellStyle name="Millares 11 3 4 3 3" xfId="1753"/>
    <cellStyle name="Millares 11 3 4 4" xfId="1754"/>
    <cellStyle name="Millares 11 3 4 4 2" xfId="1755"/>
    <cellStyle name="Millares 11 3 4 5" xfId="1756"/>
    <cellStyle name="Millares 11 3 5" xfId="1757"/>
    <cellStyle name="Millares 11 3 5 2" xfId="1758"/>
    <cellStyle name="Millares 11 3 5 2 2" xfId="1759"/>
    <cellStyle name="Millares 11 3 5 3" xfId="1760"/>
    <cellStyle name="Millares 11 3 6" xfId="1761"/>
    <cellStyle name="Millares 11 3 6 2" xfId="1762"/>
    <cellStyle name="Millares 11 3 6 2 2" xfId="1763"/>
    <cellStyle name="Millares 11 3 6 3" xfId="1764"/>
    <cellStyle name="Millares 11 3 7" xfId="1765"/>
    <cellStyle name="Millares 11 3 7 2" xfId="1766"/>
    <cellStyle name="Millares 11 3 7 2 2" xfId="1767"/>
    <cellStyle name="Millares 11 3 7 3" xfId="1768"/>
    <cellStyle name="Millares 11 3 8" xfId="1769"/>
    <cellStyle name="Millares 11 3 8 2" xfId="1770"/>
    <cellStyle name="Millares 11 3 9" xfId="1771"/>
    <cellStyle name="Millares 11 4" xfId="236"/>
    <cellStyle name="Millares 11 4 2" xfId="355"/>
    <cellStyle name="Millares 11 4 2 2" xfId="445"/>
    <cellStyle name="Millares 11 4 2 2 2" xfId="615"/>
    <cellStyle name="Millares 11 4 2 3" xfId="529"/>
    <cellStyle name="Millares 11 4 3" xfId="444"/>
    <cellStyle name="Millares 11 4 3 2" xfId="614"/>
    <cellStyle name="Millares 11 4 4" xfId="528"/>
    <cellStyle name="Millares 11 4 5" xfId="1772"/>
    <cellStyle name="Millares 11 4 5 2" xfId="3716"/>
    <cellStyle name="Millares 11 4 6" xfId="354"/>
    <cellStyle name="Millares 11 4 7" xfId="3567"/>
    <cellStyle name="Millares 11 5" xfId="174"/>
    <cellStyle name="Millares 11 5 2" xfId="845"/>
    <cellStyle name="Millares 11 5 2 2" xfId="3674"/>
    <cellStyle name="Millares 11 5 3" xfId="684"/>
    <cellStyle name="Millares 11 5 3 2" xfId="3632"/>
    <cellStyle name="Millares 11 5 4" xfId="3549"/>
    <cellStyle name="Millares 11 6" xfId="676"/>
    <cellStyle name="Millares 11 6 2" xfId="837"/>
    <cellStyle name="Millares 11 6 2 2" xfId="3666"/>
    <cellStyle name="Millares 11 6 3" xfId="3624"/>
    <cellStyle name="Millares 11 7" xfId="347"/>
    <cellStyle name="Millares 11 7 2" xfId="3602"/>
    <cellStyle name="Millares 12" xfId="33"/>
    <cellStyle name="Millares 12 2" xfId="34"/>
    <cellStyle name="Millares 12 3" xfId="35"/>
    <cellStyle name="Millares 12 4" xfId="414"/>
    <cellStyle name="Millares 12 4 2" xfId="3616"/>
    <cellStyle name="Millares 13" xfId="36"/>
    <cellStyle name="Millares 13 2" xfId="204"/>
    <cellStyle name="Millares 13 2 2" xfId="357"/>
    <cellStyle name="Millares 13 2 2 2" xfId="447"/>
    <cellStyle name="Millares 13 2 2 2 2" xfId="617"/>
    <cellStyle name="Millares 13 2 2 2 2 2" xfId="1773"/>
    <cellStyle name="Millares 13 2 2 2 2 2 2" xfId="1774"/>
    <cellStyle name="Millares 13 2 2 2 2 2 2 2" xfId="1775"/>
    <cellStyle name="Millares 13 2 2 2 2 2 3" xfId="1776"/>
    <cellStyle name="Millares 13 2 2 2 2 3" xfId="1777"/>
    <cellStyle name="Millares 13 2 2 2 2 3 2" xfId="1778"/>
    <cellStyle name="Millares 13 2 2 2 2 3 2 2" xfId="1779"/>
    <cellStyle name="Millares 13 2 2 2 2 3 3" xfId="1780"/>
    <cellStyle name="Millares 13 2 2 2 2 4" xfId="1781"/>
    <cellStyle name="Millares 13 2 2 2 2 4 2" xfId="1782"/>
    <cellStyle name="Millares 13 2 2 2 2 5" xfId="1783"/>
    <cellStyle name="Millares 13 2 2 2 3" xfId="1784"/>
    <cellStyle name="Millares 13 2 2 2 3 2" xfId="1785"/>
    <cellStyle name="Millares 13 2 2 2 3 2 2" xfId="1786"/>
    <cellStyle name="Millares 13 2 2 2 3 3" xfId="1787"/>
    <cellStyle name="Millares 13 2 2 2 4" xfId="1788"/>
    <cellStyle name="Millares 13 2 2 2 4 2" xfId="1789"/>
    <cellStyle name="Millares 13 2 2 2 4 2 2" xfId="1790"/>
    <cellStyle name="Millares 13 2 2 2 4 3" xfId="1791"/>
    <cellStyle name="Millares 13 2 2 2 5" xfId="1792"/>
    <cellStyle name="Millares 13 2 2 2 5 2" xfId="1793"/>
    <cellStyle name="Millares 13 2 2 2 5 2 2" xfId="1794"/>
    <cellStyle name="Millares 13 2 2 2 5 3" xfId="1795"/>
    <cellStyle name="Millares 13 2 2 2 6" xfId="1796"/>
    <cellStyle name="Millares 13 2 2 2 6 2" xfId="1797"/>
    <cellStyle name="Millares 13 2 2 2 7" xfId="1798"/>
    <cellStyle name="Millares 13 2 2 3" xfId="531"/>
    <cellStyle name="Millares 13 2 2 3 2" xfId="1799"/>
    <cellStyle name="Millares 13 2 2 3 2 2" xfId="1800"/>
    <cellStyle name="Millares 13 2 2 3 2 2 2" xfId="1801"/>
    <cellStyle name="Millares 13 2 2 3 2 3" xfId="1802"/>
    <cellStyle name="Millares 13 2 2 3 3" xfId="1803"/>
    <cellStyle name="Millares 13 2 2 3 3 2" xfId="1804"/>
    <cellStyle name="Millares 13 2 2 3 3 2 2" xfId="1805"/>
    <cellStyle name="Millares 13 2 2 3 3 3" xfId="1806"/>
    <cellStyle name="Millares 13 2 2 3 4" xfId="1807"/>
    <cellStyle name="Millares 13 2 2 3 4 2" xfId="1808"/>
    <cellStyle name="Millares 13 2 2 3 5" xfId="1809"/>
    <cellStyle name="Millares 13 2 2 4" xfId="1810"/>
    <cellStyle name="Millares 13 2 2 4 2" xfId="1811"/>
    <cellStyle name="Millares 13 2 2 4 2 2" xfId="1812"/>
    <cellStyle name="Millares 13 2 2 4 3" xfId="1813"/>
    <cellStyle name="Millares 13 2 2 5" xfId="1814"/>
    <cellStyle name="Millares 13 2 2 5 2" xfId="1815"/>
    <cellStyle name="Millares 13 2 2 5 2 2" xfId="1816"/>
    <cellStyle name="Millares 13 2 2 5 3" xfId="1817"/>
    <cellStyle name="Millares 13 2 2 6" xfId="1818"/>
    <cellStyle name="Millares 13 2 2 6 2" xfId="1819"/>
    <cellStyle name="Millares 13 2 2 6 2 2" xfId="1820"/>
    <cellStyle name="Millares 13 2 2 6 3" xfId="1821"/>
    <cellStyle name="Millares 13 2 2 7" xfId="1822"/>
    <cellStyle name="Millares 13 2 2 7 2" xfId="1823"/>
    <cellStyle name="Millares 13 2 2 8" xfId="1824"/>
    <cellStyle name="Millares 13 2 3" xfId="446"/>
    <cellStyle name="Millares 13 2 3 2" xfId="616"/>
    <cellStyle name="Millares 13 2 3 2 2" xfId="1825"/>
    <cellStyle name="Millares 13 2 3 2 2 2" xfId="1826"/>
    <cellStyle name="Millares 13 2 3 2 2 2 2" xfId="1827"/>
    <cellStyle name="Millares 13 2 3 2 2 3" xfId="1828"/>
    <cellStyle name="Millares 13 2 3 2 3" xfId="1829"/>
    <cellStyle name="Millares 13 2 3 2 3 2" xfId="1830"/>
    <cellStyle name="Millares 13 2 3 2 3 2 2" xfId="1831"/>
    <cellStyle name="Millares 13 2 3 2 3 3" xfId="1832"/>
    <cellStyle name="Millares 13 2 3 2 4" xfId="1833"/>
    <cellStyle name="Millares 13 2 3 2 4 2" xfId="1834"/>
    <cellStyle name="Millares 13 2 3 2 5" xfId="1835"/>
    <cellStyle name="Millares 13 2 3 3" xfId="1836"/>
    <cellStyle name="Millares 13 2 3 3 2" xfId="1837"/>
    <cellStyle name="Millares 13 2 3 3 2 2" xfId="1838"/>
    <cellStyle name="Millares 13 2 3 3 3" xfId="1839"/>
    <cellStyle name="Millares 13 2 3 4" xfId="1840"/>
    <cellStyle name="Millares 13 2 3 4 2" xfId="1841"/>
    <cellStyle name="Millares 13 2 3 4 2 2" xfId="1842"/>
    <cellStyle name="Millares 13 2 3 4 3" xfId="1843"/>
    <cellStyle name="Millares 13 2 3 5" xfId="1844"/>
    <cellStyle name="Millares 13 2 3 5 2" xfId="1845"/>
    <cellStyle name="Millares 13 2 3 5 2 2" xfId="1846"/>
    <cellStyle name="Millares 13 2 3 5 3" xfId="1847"/>
    <cellStyle name="Millares 13 2 3 6" xfId="1848"/>
    <cellStyle name="Millares 13 2 3 6 2" xfId="1849"/>
    <cellStyle name="Millares 13 2 3 7" xfId="1850"/>
    <cellStyle name="Millares 13 2 4" xfId="530"/>
    <cellStyle name="Millares 13 2 4 2" xfId="1851"/>
    <cellStyle name="Millares 13 2 4 2 2" xfId="1852"/>
    <cellStyle name="Millares 13 2 4 2 2 2" xfId="1853"/>
    <cellStyle name="Millares 13 2 4 2 3" xfId="1854"/>
    <cellStyle name="Millares 13 2 4 3" xfId="1855"/>
    <cellStyle name="Millares 13 2 4 3 2" xfId="1856"/>
    <cellStyle name="Millares 13 2 4 3 2 2" xfId="1857"/>
    <cellStyle name="Millares 13 2 4 3 3" xfId="1858"/>
    <cellStyle name="Millares 13 2 4 4" xfId="1859"/>
    <cellStyle name="Millares 13 2 4 4 2" xfId="1860"/>
    <cellStyle name="Millares 13 2 4 5" xfId="1861"/>
    <cellStyle name="Millares 13 2 5" xfId="1862"/>
    <cellStyle name="Millares 13 2 5 2" xfId="1863"/>
    <cellStyle name="Millares 13 2 5 2 2" xfId="1864"/>
    <cellStyle name="Millares 13 2 5 3" xfId="1865"/>
    <cellStyle name="Millares 13 2 6" xfId="1866"/>
    <cellStyle name="Millares 13 2 6 2" xfId="1867"/>
    <cellStyle name="Millares 13 2 6 2 2" xfId="1868"/>
    <cellStyle name="Millares 13 2 6 3" xfId="1869"/>
    <cellStyle name="Millares 13 2 7" xfId="1870"/>
    <cellStyle name="Millares 13 2 7 2" xfId="1871"/>
    <cellStyle name="Millares 13 2 7 2 2" xfId="1872"/>
    <cellStyle name="Millares 13 2 7 3" xfId="1873"/>
    <cellStyle name="Millares 13 2 8" xfId="1874"/>
    <cellStyle name="Millares 13 2 8 2" xfId="1875"/>
    <cellStyle name="Millares 13 2 9" xfId="1876"/>
    <cellStyle name="Millares 13 3" xfId="239"/>
    <cellStyle name="Millares 13 3 2" xfId="359"/>
    <cellStyle name="Millares 13 3 2 2" xfId="449"/>
    <cellStyle name="Millares 13 3 2 2 2" xfId="619"/>
    <cellStyle name="Millares 13 3 2 3" xfId="533"/>
    <cellStyle name="Millares 13 3 3" xfId="448"/>
    <cellStyle name="Millares 13 3 3 2" xfId="618"/>
    <cellStyle name="Millares 13 3 4" xfId="532"/>
    <cellStyle name="Millares 13 3 5" xfId="1877"/>
    <cellStyle name="Millares 13 3 5 2" xfId="3717"/>
    <cellStyle name="Millares 13 3 6" xfId="358"/>
    <cellStyle name="Millares 13 3 7" xfId="3570"/>
    <cellStyle name="Millares 13 4" xfId="177"/>
    <cellStyle name="Millares 13 4 2" xfId="847"/>
    <cellStyle name="Millares 13 4 2 2" xfId="3676"/>
    <cellStyle name="Millares 13 4 3" xfId="686"/>
    <cellStyle name="Millares 13 4 3 2" xfId="3634"/>
    <cellStyle name="Millares 13 4 4" xfId="3552"/>
    <cellStyle name="Millares 13 5" xfId="685"/>
    <cellStyle name="Millares 13 5 2" xfId="846"/>
    <cellStyle name="Millares 13 5 2 2" xfId="3675"/>
    <cellStyle name="Millares 13 5 3" xfId="3633"/>
    <cellStyle name="Millares 13 6" xfId="356"/>
    <cellStyle name="Millares 13 6 2" xfId="3605"/>
    <cellStyle name="Millares 14" xfId="37"/>
    <cellStyle name="Millares 14 2" xfId="205"/>
    <cellStyle name="Millares 14 2 2" xfId="362"/>
    <cellStyle name="Millares 14 2 2 2" xfId="451"/>
    <cellStyle name="Millares 14 2 2 2 2" xfId="621"/>
    <cellStyle name="Millares 14 2 2 2 2 2" xfId="1878"/>
    <cellStyle name="Millares 14 2 2 2 2 2 2" xfId="1879"/>
    <cellStyle name="Millares 14 2 2 2 2 2 2 2" xfId="1880"/>
    <cellStyle name="Millares 14 2 2 2 2 2 3" xfId="1881"/>
    <cellStyle name="Millares 14 2 2 2 2 3" xfId="1882"/>
    <cellStyle name="Millares 14 2 2 2 2 3 2" xfId="1883"/>
    <cellStyle name="Millares 14 2 2 2 2 3 2 2" xfId="1884"/>
    <cellStyle name="Millares 14 2 2 2 2 3 3" xfId="1885"/>
    <cellStyle name="Millares 14 2 2 2 2 4" xfId="1886"/>
    <cellStyle name="Millares 14 2 2 2 2 4 2" xfId="1887"/>
    <cellStyle name="Millares 14 2 2 2 2 5" xfId="1888"/>
    <cellStyle name="Millares 14 2 2 2 3" xfId="1889"/>
    <cellStyle name="Millares 14 2 2 2 3 2" xfId="1890"/>
    <cellStyle name="Millares 14 2 2 2 3 2 2" xfId="1891"/>
    <cellStyle name="Millares 14 2 2 2 3 3" xfId="1892"/>
    <cellStyle name="Millares 14 2 2 2 4" xfId="1893"/>
    <cellStyle name="Millares 14 2 2 2 4 2" xfId="1894"/>
    <cellStyle name="Millares 14 2 2 2 4 2 2" xfId="1895"/>
    <cellStyle name="Millares 14 2 2 2 4 3" xfId="1896"/>
    <cellStyle name="Millares 14 2 2 2 5" xfId="1897"/>
    <cellStyle name="Millares 14 2 2 2 5 2" xfId="1898"/>
    <cellStyle name="Millares 14 2 2 2 5 2 2" xfId="1899"/>
    <cellStyle name="Millares 14 2 2 2 5 3" xfId="1900"/>
    <cellStyle name="Millares 14 2 2 2 6" xfId="1901"/>
    <cellStyle name="Millares 14 2 2 2 6 2" xfId="1902"/>
    <cellStyle name="Millares 14 2 2 2 7" xfId="1903"/>
    <cellStyle name="Millares 14 2 2 3" xfId="535"/>
    <cellStyle name="Millares 14 2 2 3 2" xfId="1904"/>
    <cellStyle name="Millares 14 2 2 3 2 2" xfId="1905"/>
    <cellStyle name="Millares 14 2 2 3 2 2 2" xfId="1906"/>
    <cellStyle name="Millares 14 2 2 3 2 3" xfId="1907"/>
    <cellStyle name="Millares 14 2 2 3 3" xfId="1908"/>
    <cellStyle name="Millares 14 2 2 3 3 2" xfId="1909"/>
    <cellStyle name="Millares 14 2 2 3 3 2 2" xfId="1910"/>
    <cellStyle name="Millares 14 2 2 3 3 3" xfId="1911"/>
    <cellStyle name="Millares 14 2 2 3 4" xfId="1912"/>
    <cellStyle name="Millares 14 2 2 3 4 2" xfId="1913"/>
    <cellStyle name="Millares 14 2 2 3 5" xfId="1914"/>
    <cellStyle name="Millares 14 2 2 4" xfId="1915"/>
    <cellStyle name="Millares 14 2 2 4 2" xfId="1916"/>
    <cellStyle name="Millares 14 2 2 4 2 2" xfId="1917"/>
    <cellStyle name="Millares 14 2 2 4 3" xfId="1918"/>
    <cellStyle name="Millares 14 2 2 5" xfId="1919"/>
    <cellStyle name="Millares 14 2 2 5 2" xfId="1920"/>
    <cellStyle name="Millares 14 2 2 5 2 2" xfId="1921"/>
    <cellStyle name="Millares 14 2 2 5 3" xfId="1922"/>
    <cellStyle name="Millares 14 2 2 6" xfId="1923"/>
    <cellStyle name="Millares 14 2 2 6 2" xfId="1924"/>
    <cellStyle name="Millares 14 2 2 6 2 2" xfId="1925"/>
    <cellStyle name="Millares 14 2 2 6 3" xfId="1926"/>
    <cellStyle name="Millares 14 2 2 7" xfId="1927"/>
    <cellStyle name="Millares 14 2 2 7 2" xfId="1928"/>
    <cellStyle name="Millares 14 2 2 8" xfId="1929"/>
    <cellStyle name="Millares 14 2 3" xfId="450"/>
    <cellStyle name="Millares 14 2 3 2" xfId="620"/>
    <cellStyle name="Millares 14 2 3 2 2" xfId="1930"/>
    <cellStyle name="Millares 14 2 3 2 2 2" xfId="1931"/>
    <cellStyle name="Millares 14 2 3 2 2 2 2" xfId="1932"/>
    <cellStyle name="Millares 14 2 3 2 2 3" xfId="1933"/>
    <cellStyle name="Millares 14 2 3 2 3" xfId="1934"/>
    <cellStyle name="Millares 14 2 3 2 3 2" xfId="1935"/>
    <cellStyle name="Millares 14 2 3 2 3 2 2" xfId="1936"/>
    <cellStyle name="Millares 14 2 3 2 3 3" xfId="1937"/>
    <cellStyle name="Millares 14 2 3 2 4" xfId="1938"/>
    <cellStyle name="Millares 14 2 3 2 4 2" xfId="1939"/>
    <cellStyle name="Millares 14 2 3 2 5" xfId="1940"/>
    <cellStyle name="Millares 14 2 3 3" xfId="1941"/>
    <cellStyle name="Millares 14 2 3 3 2" xfId="1942"/>
    <cellStyle name="Millares 14 2 3 3 2 2" xfId="1943"/>
    <cellStyle name="Millares 14 2 3 3 3" xfId="1944"/>
    <cellStyle name="Millares 14 2 3 4" xfId="1945"/>
    <cellStyle name="Millares 14 2 3 4 2" xfId="1946"/>
    <cellStyle name="Millares 14 2 3 4 2 2" xfId="1947"/>
    <cellStyle name="Millares 14 2 3 4 3" xfId="1948"/>
    <cellStyle name="Millares 14 2 3 5" xfId="1949"/>
    <cellStyle name="Millares 14 2 3 5 2" xfId="1950"/>
    <cellStyle name="Millares 14 2 3 5 2 2" xfId="1951"/>
    <cellStyle name="Millares 14 2 3 5 3" xfId="1952"/>
    <cellStyle name="Millares 14 2 3 6" xfId="1953"/>
    <cellStyle name="Millares 14 2 3 6 2" xfId="1954"/>
    <cellStyle name="Millares 14 2 3 7" xfId="1955"/>
    <cellStyle name="Millares 14 2 4" xfId="534"/>
    <cellStyle name="Millares 14 2 4 2" xfId="1956"/>
    <cellStyle name="Millares 14 2 4 2 2" xfId="1957"/>
    <cellStyle name="Millares 14 2 4 2 2 2" xfId="1958"/>
    <cellStyle name="Millares 14 2 4 2 3" xfId="1959"/>
    <cellStyle name="Millares 14 2 4 3" xfId="1960"/>
    <cellStyle name="Millares 14 2 4 3 2" xfId="1961"/>
    <cellStyle name="Millares 14 2 4 3 2 2" xfId="1962"/>
    <cellStyle name="Millares 14 2 4 3 3" xfId="1963"/>
    <cellStyle name="Millares 14 2 4 4" xfId="1964"/>
    <cellStyle name="Millares 14 2 4 4 2" xfId="1965"/>
    <cellStyle name="Millares 14 2 4 5" xfId="1966"/>
    <cellStyle name="Millares 14 2 5" xfId="1967"/>
    <cellStyle name="Millares 14 2 5 2" xfId="1968"/>
    <cellStyle name="Millares 14 2 5 2 2" xfId="1969"/>
    <cellStyle name="Millares 14 2 5 3" xfId="1970"/>
    <cellStyle name="Millares 14 2 6" xfId="1971"/>
    <cellStyle name="Millares 14 2 6 2" xfId="1972"/>
    <cellStyle name="Millares 14 2 6 2 2" xfId="1973"/>
    <cellStyle name="Millares 14 2 6 3" xfId="1974"/>
    <cellStyle name="Millares 14 2 7" xfId="1975"/>
    <cellStyle name="Millares 14 2 7 2" xfId="1976"/>
    <cellStyle name="Millares 14 2 7 2 2" xfId="1977"/>
    <cellStyle name="Millares 14 2 7 3" xfId="1978"/>
    <cellStyle name="Millares 14 2 8" xfId="1979"/>
    <cellStyle name="Millares 14 2 8 2" xfId="1980"/>
    <cellStyle name="Millares 14 2 9" xfId="1981"/>
    <cellStyle name="Millares 14 3" xfId="240"/>
    <cellStyle name="Millares 14 3 2" xfId="364"/>
    <cellStyle name="Millares 14 3 2 2" xfId="453"/>
    <cellStyle name="Millares 14 3 2 2 2" xfId="623"/>
    <cellStyle name="Millares 14 3 2 3" xfId="537"/>
    <cellStyle name="Millares 14 3 3" xfId="452"/>
    <cellStyle name="Millares 14 3 3 2" xfId="622"/>
    <cellStyle name="Millares 14 3 4" xfId="536"/>
    <cellStyle name="Millares 14 3 5" xfId="1982"/>
    <cellStyle name="Millares 14 3 5 2" xfId="3718"/>
    <cellStyle name="Millares 14 3 6" xfId="363"/>
    <cellStyle name="Millares 14 3 7" xfId="3571"/>
    <cellStyle name="Millares 14 4" xfId="178"/>
    <cellStyle name="Millares 14 4 2" xfId="849"/>
    <cellStyle name="Millares 14 4 2 2" xfId="3678"/>
    <cellStyle name="Millares 14 4 3" xfId="688"/>
    <cellStyle name="Millares 14 4 3 2" xfId="3636"/>
    <cellStyle name="Millares 14 4 4" xfId="3553"/>
    <cellStyle name="Millares 14 5" xfId="687"/>
    <cellStyle name="Millares 14 5 2" xfId="848"/>
    <cellStyle name="Millares 14 5 2 2" xfId="3677"/>
    <cellStyle name="Millares 14 5 3" xfId="3635"/>
    <cellStyle name="Millares 14 6" xfId="360"/>
    <cellStyle name="Millares 14 6 2" xfId="3606"/>
    <cellStyle name="Millares 15" xfId="38"/>
    <cellStyle name="Millares 15 2" xfId="206"/>
    <cellStyle name="Millares 15 2 2" xfId="366"/>
    <cellStyle name="Millares 15 2 2 2" xfId="455"/>
    <cellStyle name="Millares 15 2 2 2 2" xfId="625"/>
    <cellStyle name="Millares 15 2 2 2 2 2" xfId="1983"/>
    <cellStyle name="Millares 15 2 2 2 2 2 2" xfId="1984"/>
    <cellStyle name="Millares 15 2 2 2 2 2 2 2" xfId="1985"/>
    <cellStyle name="Millares 15 2 2 2 2 2 3" xfId="1986"/>
    <cellStyle name="Millares 15 2 2 2 2 3" xfId="1987"/>
    <cellStyle name="Millares 15 2 2 2 2 3 2" xfId="1988"/>
    <cellStyle name="Millares 15 2 2 2 2 3 2 2" xfId="1989"/>
    <cellStyle name="Millares 15 2 2 2 2 3 3" xfId="1990"/>
    <cellStyle name="Millares 15 2 2 2 2 4" xfId="1991"/>
    <cellStyle name="Millares 15 2 2 2 2 4 2" xfId="1992"/>
    <cellStyle name="Millares 15 2 2 2 2 5" xfId="1993"/>
    <cellStyle name="Millares 15 2 2 2 3" xfId="1994"/>
    <cellStyle name="Millares 15 2 2 2 3 2" xfId="1995"/>
    <cellStyle name="Millares 15 2 2 2 3 2 2" xfId="1996"/>
    <cellStyle name="Millares 15 2 2 2 3 3" xfId="1997"/>
    <cellStyle name="Millares 15 2 2 2 4" xfId="1998"/>
    <cellStyle name="Millares 15 2 2 2 4 2" xfId="1999"/>
    <cellStyle name="Millares 15 2 2 2 4 2 2" xfId="2000"/>
    <cellStyle name="Millares 15 2 2 2 4 3" xfId="2001"/>
    <cellStyle name="Millares 15 2 2 2 5" xfId="2002"/>
    <cellStyle name="Millares 15 2 2 2 5 2" xfId="2003"/>
    <cellStyle name="Millares 15 2 2 2 5 2 2" xfId="2004"/>
    <cellStyle name="Millares 15 2 2 2 5 3" xfId="2005"/>
    <cellStyle name="Millares 15 2 2 2 6" xfId="2006"/>
    <cellStyle name="Millares 15 2 2 2 6 2" xfId="2007"/>
    <cellStyle name="Millares 15 2 2 2 7" xfId="2008"/>
    <cellStyle name="Millares 15 2 2 3" xfId="539"/>
    <cellStyle name="Millares 15 2 2 3 2" xfId="2009"/>
    <cellStyle name="Millares 15 2 2 3 2 2" xfId="2010"/>
    <cellStyle name="Millares 15 2 2 3 2 2 2" xfId="2011"/>
    <cellStyle name="Millares 15 2 2 3 2 3" xfId="2012"/>
    <cellStyle name="Millares 15 2 2 3 3" xfId="2013"/>
    <cellStyle name="Millares 15 2 2 3 3 2" xfId="2014"/>
    <cellStyle name="Millares 15 2 2 3 3 2 2" xfId="2015"/>
    <cellStyle name="Millares 15 2 2 3 3 3" xfId="2016"/>
    <cellStyle name="Millares 15 2 2 3 4" xfId="2017"/>
    <cellStyle name="Millares 15 2 2 3 4 2" xfId="2018"/>
    <cellStyle name="Millares 15 2 2 3 5" xfId="2019"/>
    <cellStyle name="Millares 15 2 2 4" xfId="2020"/>
    <cellStyle name="Millares 15 2 2 4 2" xfId="2021"/>
    <cellStyle name="Millares 15 2 2 4 2 2" xfId="2022"/>
    <cellStyle name="Millares 15 2 2 4 3" xfId="2023"/>
    <cellStyle name="Millares 15 2 2 5" xfId="2024"/>
    <cellStyle name="Millares 15 2 2 5 2" xfId="2025"/>
    <cellStyle name="Millares 15 2 2 5 2 2" xfId="2026"/>
    <cellStyle name="Millares 15 2 2 5 3" xfId="2027"/>
    <cellStyle name="Millares 15 2 2 6" xfId="2028"/>
    <cellStyle name="Millares 15 2 2 6 2" xfId="2029"/>
    <cellStyle name="Millares 15 2 2 6 2 2" xfId="2030"/>
    <cellStyle name="Millares 15 2 2 6 3" xfId="2031"/>
    <cellStyle name="Millares 15 2 2 7" xfId="2032"/>
    <cellStyle name="Millares 15 2 2 7 2" xfId="2033"/>
    <cellStyle name="Millares 15 2 2 8" xfId="2034"/>
    <cellStyle name="Millares 15 2 3" xfId="454"/>
    <cellStyle name="Millares 15 2 3 2" xfId="624"/>
    <cellStyle name="Millares 15 2 3 2 2" xfId="2035"/>
    <cellStyle name="Millares 15 2 3 2 2 2" xfId="2036"/>
    <cellStyle name="Millares 15 2 3 2 2 2 2" xfId="2037"/>
    <cellStyle name="Millares 15 2 3 2 2 3" xfId="2038"/>
    <cellStyle name="Millares 15 2 3 2 3" xfId="2039"/>
    <cellStyle name="Millares 15 2 3 2 3 2" xfId="2040"/>
    <cellStyle name="Millares 15 2 3 2 3 2 2" xfId="2041"/>
    <cellStyle name="Millares 15 2 3 2 3 3" xfId="2042"/>
    <cellStyle name="Millares 15 2 3 2 4" xfId="2043"/>
    <cellStyle name="Millares 15 2 3 2 4 2" xfId="2044"/>
    <cellStyle name="Millares 15 2 3 2 5" xfId="2045"/>
    <cellStyle name="Millares 15 2 3 3" xfId="2046"/>
    <cellStyle name="Millares 15 2 3 3 2" xfId="2047"/>
    <cellStyle name="Millares 15 2 3 3 2 2" xfId="2048"/>
    <cellStyle name="Millares 15 2 3 3 3" xfId="2049"/>
    <cellStyle name="Millares 15 2 3 4" xfId="2050"/>
    <cellStyle name="Millares 15 2 3 4 2" xfId="2051"/>
    <cellStyle name="Millares 15 2 3 4 2 2" xfId="2052"/>
    <cellStyle name="Millares 15 2 3 4 3" xfId="2053"/>
    <cellStyle name="Millares 15 2 3 5" xfId="2054"/>
    <cellStyle name="Millares 15 2 3 5 2" xfId="2055"/>
    <cellStyle name="Millares 15 2 3 5 2 2" xfId="2056"/>
    <cellStyle name="Millares 15 2 3 5 3" xfId="2057"/>
    <cellStyle name="Millares 15 2 3 6" xfId="2058"/>
    <cellStyle name="Millares 15 2 3 6 2" xfId="2059"/>
    <cellStyle name="Millares 15 2 3 7" xfId="2060"/>
    <cellStyle name="Millares 15 2 4" xfId="538"/>
    <cellStyle name="Millares 15 2 4 2" xfId="2061"/>
    <cellStyle name="Millares 15 2 4 2 2" xfId="2062"/>
    <cellStyle name="Millares 15 2 4 2 2 2" xfId="2063"/>
    <cellStyle name="Millares 15 2 4 2 3" xfId="2064"/>
    <cellStyle name="Millares 15 2 4 3" xfId="2065"/>
    <cellStyle name="Millares 15 2 4 3 2" xfId="2066"/>
    <cellStyle name="Millares 15 2 4 3 2 2" xfId="2067"/>
    <cellStyle name="Millares 15 2 4 3 3" xfId="2068"/>
    <cellStyle name="Millares 15 2 4 4" xfId="2069"/>
    <cellStyle name="Millares 15 2 4 4 2" xfId="2070"/>
    <cellStyle name="Millares 15 2 4 5" xfId="2071"/>
    <cellStyle name="Millares 15 2 5" xfId="2072"/>
    <cellStyle name="Millares 15 2 5 2" xfId="2073"/>
    <cellStyle name="Millares 15 2 5 2 2" xfId="2074"/>
    <cellStyle name="Millares 15 2 5 3" xfId="2075"/>
    <cellStyle name="Millares 15 2 6" xfId="2076"/>
    <cellStyle name="Millares 15 2 6 2" xfId="2077"/>
    <cellStyle name="Millares 15 2 6 2 2" xfId="2078"/>
    <cellStyle name="Millares 15 2 6 3" xfId="2079"/>
    <cellStyle name="Millares 15 2 7" xfId="2080"/>
    <cellStyle name="Millares 15 2 7 2" xfId="2081"/>
    <cellStyle name="Millares 15 2 7 2 2" xfId="2082"/>
    <cellStyle name="Millares 15 2 7 3" xfId="2083"/>
    <cellStyle name="Millares 15 2 8" xfId="2084"/>
    <cellStyle name="Millares 15 2 8 2" xfId="2085"/>
    <cellStyle name="Millares 15 2 9" xfId="2086"/>
    <cellStyle name="Millares 15 3" xfId="241"/>
    <cellStyle name="Millares 15 3 2" xfId="368"/>
    <cellStyle name="Millares 15 3 2 2" xfId="457"/>
    <cellStyle name="Millares 15 3 2 2 2" xfId="627"/>
    <cellStyle name="Millares 15 3 2 3" xfId="541"/>
    <cellStyle name="Millares 15 3 3" xfId="456"/>
    <cellStyle name="Millares 15 3 3 2" xfId="626"/>
    <cellStyle name="Millares 15 3 4" xfId="540"/>
    <cellStyle name="Millares 15 3 5" xfId="2087"/>
    <cellStyle name="Millares 15 3 5 2" xfId="3719"/>
    <cellStyle name="Millares 15 3 6" xfId="367"/>
    <cellStyle name="Millares 15 3 7" xfId="3572"/>
    <cellStyle name="Millares 15 4" xfId="179"/>
    <cellStyle name="Millares 15 4 2" xfId="851"/>
    <cellStyle name="Millares 15 4 2 2" xfId="3680"/>
    <cellStyle name="Millares 15 4 3" xfId="690"/>
    <cellStyle name="Millares 15 4 3 2" xfId="3638"/>
    <cellStyle name="Millares 15 4 4" xfId="3554"/>
    <cellStyle name="Millares 15 5" xfId="689"/>
    <cellStyle name="Millares 15 5 2" xfId="850"/>
    <cellStyle name="Millares 15 5 2 2" xfId="3679"/>
    <cellStyle name="Millares 15 5 3" xfId="3637"/>
    <cellStyle name="Millares 15 6" xfId="365"/>
    <cellStyle name="Millares 15 6 2" xfId="3607"/>
    <cellStyle name="Millares 16" xfId="39"/>
    <cellStyle name="Millares 16 2" xfId="207"/>
    <cellStyle name="Millares 16 2 2" xfId="370"/>
    <cellStyle name="Millares 16 2 2 2" xfId="459"/>
    <cellStyle name="Millares 16 2 2 2 2" xfId="629"/>
    <cellStyle name="Millares 16 2 2 2 2 2" xfId="2088"/>
    <cellStyle name="Millares 16 2 2 2 2 2 2" xfId="2089"/>
    <cellStyle name="Millares 16 2 2 2 2 2 2 2" xfId="2090"/>
    <cellStyle name="Millares 16 2 2 2 2 2 3" xfId="2091"/>
    <cellStyle name="Millares 16 2 2 2 2 3" xfId="2092"/>
    <cellStyle name="Millares 16 2 2 2 2 3 2" xfId="2093"/>
    <cellStyle name="Millares 16 2 2 2 2 3 2 2" xfId="2094"/>
    <cellStyle name="Millares 16 2 2 2 2 3 3" xfId="2095"/>
    <cellStyle name="Millares 16 2 2 2 2 4" xfId="2096"/>
    <cellStyle name="Millares 16 2 2 2 2 4 2" xfId="2097"/>
    <cellStyle name="Millares 16 2 2 2 2 5" xfId="2098"/>
    <cellStyle name="Millares 16 2 2 2 3" xfId="2099"/>
    <cellStyle name="Millares 16 2 2 2 3 2" xfId="2100"/>
    <cellStyle name="Millares 16 2 2 2 3 2 2" xfId="2101"/>
    <cellStyle name="Millares 16 2 2 2 3 3" xfId="2102"/>
    <cellStyle name="Millares 16 2 2 2 4" xfId="2103"/>
    <cellStyle name="Millares 16 2 2 2 4 2" xfId="2104"/>
    <cellStyle name="Millares 16 2 2 2 4 2 2" xfId="2105"/>
    <cellStyle name="Millares 16 2 2 2 4 3" xfId="2106"/>
    <cellStyle name="Millares 16 2 2 2 5" xfId="2107"/>
    <cellStyle name="Millares 16 2 2 2 5 2" xfId="2108"/>
    <cellStyle name="Millares 16 2 2 2 5 2 2" xfId="2109"/>
    <cellStyle name="Millares 16 2 2 2 5 3" xfId="2110"/>
    <cellStyle name="Millares 16 2 2 2 6" xfId="2111"/>
    <cellStyle name="Millares 16 2 2 2 6 2" xfId="2112"/>
    <cellStyle name="Millares 16 2 2 2 7" xfId="2113"/>
    <cellStyle name="Millares 16 2 2 3" xfId="543"/>
    <cellStyle name="Millares 16 2 2 3 2" xfId="2114"/>
    <cellStyle name="Millares 16 2 2 3 2 2" xfId="2115"/>
    <cellStyle name="Millares 16 2 2 3 2 2 2" xfId="2116"/>
    <cellStyle name="Millares 16 2 2 3 2 3" xfId="2117"/>
    <cellStyle name="Millares 16 2 2 3 3" xfId="2118"/>
    <cellStyle name="Millares 16 2 2 3 3 2" xfId="2119"/>
    <cellStyle name="Millares 16 2 2 3 3 2 2" xfId="2120"/>
    <cellStyle name="Millares 16 2 2 3 3 3" xfId="2121"/>
    <cellStyle name="Millares 16 2 2 3 4" xfId="2122"/>
    <cellStyle name="Millares 16 2 2 3 4 2" xfId="2123"/>
    <cellStyle name="Millares 16 2 2 3 5" xfId="2124"/>
    <cellStyle name="Millares 16 2 2 4" xfId="2125"/>
    <cellStyle name="Millares 16 2 2 4 2" xfId="2126"/>
    <cellStyle name="Millares 16 2 2 4 2 2" xfId="2127"/>
    <cellStyle name="Millares 16 2 2 4 3" xfId="2128"/>
    <cellStyle name="Millares 16 2 2 5" xfId="2129"/>
    <cellStyle name="Millares 16 2 2 5 2" xfId="2130"/>
    <cellStyle name="Millares 16 2 2 5 2 2" xfId="2131"/>
    <cellStyle name="Millares 16 2 2 5 3" xfId="2132"/>
    <cellStyle name="Millares 16 2 2 6" xfId="2133"/>
    <cellStyle name="Millares 16 2 2 6 2" xfId="2134"/>
    <cellStyle name="Millares 16 2 2 6 2 2" xfId="2135"/>
    <cellStyle name="Millares 16 2 2 6 3" xfId="2136"/>
    <cellStyle name="Millares 16 2 2 7" xfId="2137"/>
    <cellStyle name="Millares 16 2 2 7 2" xfId="2138"/>
    <cellStyle name="Millares 16 2 2 8" xfId="2139"/>
    <cellStyle name="Millares 16 2 3" xfId="458"/>
    <cellStyle name="Millares 16 2 3 2" xfId="628"/>
    <cellStyle name="Millares 16 2 3 2 2" xfId="2140"/>
    <cellStyle name="Millares 16 2 3 2 2 2" xfId="2141"/>
    <cellStyle name="Millares 16 2 3 2 2 2 2" xfId="2142"/>
    <cellStyle name="Millares 16 2 3 2 2 3" xfId="2143"/>
    <cellStyle name="Millares 16 2 3 2 3" xfId="2144"/>
    <cellStyle name="Millares 16 2 3 2 3 2" xfId="2145"/>
    <cellStyle name="Millares 16 2 3 2 3 2 2" xfId="2146"/>
    <cellStyle name="Millares 16 2 3 2 3 3" xfId="2147"/>
    <cellStyle name="Millares 16 2 3 2 4" xfId="2148"/>
    <cellStyle name="Millares 16 2 3 2 4 2" xfId="2149"/>
    <cellStyle name="Millares 16 2 3 2 5" xfId="2150"/>
    <cellStyle name="Millares 16 2 3 3" xfId="2151"/>
    <cellStyle name="Millares 16 2 3 3 2" xfId="2152"/>
    <cellStyle name="Millares 16 2 3 3 2 2" xfId="2153"/>
    <cellStyle name="Millares 16 2 3 3 3" xfId="2154"/>
    <cellStyle name="Millares 16 2 3 4" xfId="2155"/>
    <cellStyle name="Millares 16 2 3 4 2" xfId="2156"/>
    <cellStyle name="Millares 16 2 3 4 2 2" xfId="2157"/>
    <cellStyle name="Millares 16 2 3 4 3" xfId="2158"/>
    <cellStyle name="Millares 16 2 3 5" xfId="2159"/>
    <cellStyle name="Millares 16 2 3 5 2" xfId="2160"/>
    <cellStyle name="Millares 16 2 3 5 2 2" xfId="2161"/>
    <cellStyle name="Millares 16 2 3 5 3" xfId="2162"/>
    <cellStyle name="Millares 16 2 3 6" xfId="2163"/>
    <cellStyle name="Millares 16 2 3 6 2" xfId="2164"/>
    <cellStyle name="Millares 16 2 3 7" xfId="2165"/>
    <cellStyle name="Millares 16 2 4" xfId="542"/>
    <cellStyle name="Millares 16 2 4 2" xfId="2166"/>
    <cellStyle name="Millares 16 2 4 2 2" xfId="2167"/>
    <cellStyle name="Millares 16 2 4 2 2 2" xfId="2168"/>
    <cellStyle name="Millares 16 2 4 2 3" xfId="2169"/>
    <cellStyle name="Millares 16 2 4 3" xfId="2170"/>
    <cellStyle name="Millares 16 2 4 3 2" xfId="2171"/>
    <cellStyle name="Millares 16 2 4 3 2 2" xfId="2172"/>
    <cellStyle name="Millares 16 2 4 3 3" xfId="2173"/>
    <cellStyle name="Millares 16 2 4 4" xfId="2174"/>
    <cellStyle name="Millares 16 2 4 4 2" xfId="2175"/>
    <cellStyle name="Millares 16 2 4 5" xfId="2176"/>
    <cellStyle name="Millares 16 2 5" xfId="2177"/>
    <cellStyle name="Millares 16 2 5 2" xfId="2178"/>
    <cellStyle name="Millares 16 2 5 2 2" xfId="2179"/>
    <cellStyle name="Millares 16 2 5 3" xfId="2180"/>
    <cellStyle name="Millares 16 2 6" xfId="2181"/>
    <cellStyle name="Millares 16 2 6 2" xfId="2182"/>
    <cellStyle name="Millares 16 2 6 2 2" xfId="2183"/>
    <cellStyle name="Millares 16 2 6 3" xfId="2184"/>
    <cellStyle name="Millares 16 2 7" xfId="2185"/>
    <cellStyle name="Millares 16 2 7 2" xfId="2186"/>
    <cellStyle name="Millares 16 2 7 2 2" xfId="2187"/>
    <cellStyle name="Millares 16 2 7 3" xfId="2188"/>
    <cellStyle name="Millares 16 2 8" xfId="2189"/>
    <cellStyle name="Millares 16 2 8 2" xfId="2190"/>
    <cellStyle name="Millares 16 2 9" xfId="2191"/>
    <cellStyle name="Millares 16 3" xfId="242"/>
    <cellStyle name="Millares 16 3 2" xfId="372"/>
    <cellStyle name="Millares 16 3 2 2" xfId="461"/>
    <cellStyle name="Millares 16 3 2 2 2" xfId="631"/>
    <cellStyle name="Millares 16 3 2 3" xfId="545"/>
    <cellStyle name="Millares 16 3 3" xfId="460"/>
    <cellStyle name="Millares 16 3 3 2" xfId="630"/>
    <cellStyle name="Millares 16 3 4" xfId="544"/>
    <cellStyle name="Millares 16 3 5" xfId="2192"/>
    <cellStyle name="Millares 16 3 5 2" xfId="3720"/>
    <cellStyle name="Millares 16 3 6" xfId="371"/>
    <cellStyle name="Millares 16 3 7" xfId="3573"/>
    <cellStyle name="Millares 16 4" xfId="180"/>
    <cellStyle name="Millares 16 4 2" xfId="853"/>
    <cellStyle name="Millares 16 4 2 2" xfId="3682"/>
    <cellStyle name="Millares 16 4 3" xfId="692"/>
    <cellStyle name="Millares 16 4 3 2" xfId="3640"/>
    <cellStyle name="Millares 16 4 4" xfId="3555"/>
    <cellStyle name="Millares 16 5" xfId="691"/>
    <cellStyle name="Millares 16 5 2" xfId="852"/>
    <cellStyle name="Millares 16 5 2 2" xfId="3681"/>
    <cellStyle name="Millares 16 5 3" xfId="3639"/>
    <cellStyle name="Millares 16 6" xfId="369"/>
    <cellStyle name="Millares 16 6 2" xfId="3608"/>
    <cellStyle name="Millares 17" xfId="40"/>
    <cellStyle name="Millares 17 2" xfId="41"/>
    <cellStyle name="Millares 17 2 10" xfId="2194"/>
    <cellStyle name="Millares 17 2 11" xfId="374"/>
    <cellStyle name="Millares 17 2 2" xfId="224"/>
    <cellStyle name="Millares 17 2 2 10" xfId="463"/>
    <cellStyle name="Millares 17 2 2 2" xfId="283"/>
    <cellStyle name="Millares 17 2 2 2 2" xfId="2197"/>
    <cellStyle name="Millares 17 2 2 2 2 2" xfId="2198"/>
    <cellStyle name="Millares 17 2 2 2 2 2 2" xfId="2199"/>
    <cellStyle name="Millares 17 2 2 2 2 2 2 2" xfId="2200"/>
    <cellStyle name="Millares 17 2 2 2 2 2 3" xfId="2201"/>
    <cellStyle name="Millares 17 2 2 2 2 3" xfId="2202"/>
    <cellStyle name="Millares 17 2 2 2 2 3 2" xfId="2203"/>
    <cellStyle name="Millares 17 2 2 2 2 3 2 2" xfId="2204"/>
    <cellStyle name="Millares 17 2 2 2 2 3 3" xfId="2205"/>
    <cellStyle name="Millares 17 2 2 2 2 4" xfId="2206"/>
    <cellStyle name="Millares 17 2 2 2 2 4 2" xfId="2207"/>
    <cellStyle name="Millares 17 2 2 2 2 5" xfId="2208"/>
    <cellStyle name="Millares 17 2 2 2 3" xfId="2209"/>
    <cellStyle name="Millares 17 2 2 2 3 2" xfId="2210"/>
    <cellStyle name="Millares 17 2 2 2 3 2 2" xfId="2211"/>
    <cellStyle name="Millares 17 2 2 2 3 3" xfId="2212"/>
    <cellStyle name="Millares 17 2 2 2 4" xfId="2213"/>
    <cellStyle name="Millares 17 2 2 2 4 2" xfId="2214"/>
    <cellStyle name="Millares 17 2 2 2 4 2 2" xfId="2215"/>
    <cellStyle name="Millares 17 2 2 2 4 3" xfId="2216"/>
    <cellStyle name="Millares 17 2 2 2 5" xfId="2217"/>
    <cellStyle name="Millares 17 2 2 2 5 2" xfId="2218"/>
    <cellStyle name="Millares 17 2 2 2 5 2 2" xfId="2219"/>
    <cellStyle name="Millares 17 2 2 2 5 3" xfId="2220"/>
    <cellStyle name="Millares 17 2 2 2 6" xfId="2221"/>
    <cellStyle name="Millares 17 2 2 2 6 2" xfId="2222"/>
    <cellStyle name="Millares 17 2 2 2 7" xfId="2223"/>
    <cellStyle name="Millares 17 2 2 2 8" xfId="2196"/>
    <cellStyle name="Millares 17 2 2 2 9" xfId="633"/>
    <cellStyle name="Millares 17 2 2 3" xfId="2224"/>
    <cellStyle name="Millares 17 2 2 3 2" xfId="2225"/>
    <cellStyle name="Millares 17 2 2 3 2 2" xfId="2226"/>
    <cellStyle name="Millares 17 2 2 3 2 2 2" xfId="2227"/>
    <cellStyle name="Millares 17 2 2 3 2 3" xfId="2228"/>
    <cellStyle name="Millares 17 2 2 3 3" xfId="2229"/>
    <cellStyle name="Millares 17 2 2 3 3 2" xfId="2230"/>
    <cellStyle name="Millares 17 2 2 3 3 2 2" xfId="2231"/>
    <cellStyle name="Millares 17 2 2 3 3 3" xfId="2232"/>
    <cellStyle name="Millares 17 2 2 3 4" xfId="2233"/>
    <cellStyle name="Millares 17 2 2 3 4 2" xfId="2234"/>
    <cellStyle name="Millares 17 2 2 3 5" xfId="2235"/>
    <cellStyle name="Millares 17 2 2 4" xfId="2236"/>
    <cellStyle name="Millares 17 2 2 4 2" xfId="2237"/>
    <cellStyle name="Millares 17 2 2 4 2 2" xfId="2238"/>
    <cellStyle name="Millares 17 2 2 4 3" xfId="2239"/>
    <cellStyle name="Millares 17 2 2 5" xfId="2240"/>
    <cellStyle name="Millares 17 2 2 5 2" xfId="2241"/>
    <cellStyle name="Millares 17 2 2 5 2 2" xfId="2242"/>
    <cellStyle name="Millares 17 2 2 5 3" xfId="2243"/>
    <cellStyle name="Millares 17 2 2 6" xfId="2244"/>
    <cellStyle name="Millares 17 2 2 6 2" xfId="2245"/>
    <cellStyle name="Millares 17 2 2 6 2 2" xfId="2246"/>
    <cellStyle name="Millares 17 2 2 6 3" xfId="2247"/>
    <cellStyle name="Millares 17 2 2 7" xfId="2248"/>
    <cellStyle name="Millares 17 2 2 7 2" xfId="2249"/>
    <cellStyle name="Millares 17 2 2 8" xfId="2250"/>
    <cellStyle name="Millares 17 2 2 9" xfId="2195"/>
    <cellStyle name="Millares 17 2 3" xfId="263"/>
    <cellStyle name="Millares 17 2 3 10" xfId="3467"/>
    <cellStyle name="Millares 17 2 3 10 2" xfId="3732"/>
    <cellStyle name="Millares 17 2 3 11" xfId="3582"/>
    <cellStyle name="Millares 17 2 3 2" xfId="2252"/>
    <cellStyle name="Millares 17 2 3 2 2" xfId="2253"/>
    <cellStyle name="Millares 17 2 3 2 2 2" xfId="2254"/>
    <cellStyle name="Millares 17 2 3 2 2 2 2" xfId="2255"/>
    <cellStyle name="Millares 17 2 3 2 2 3" xfId="2256"/>
    <cellStyle name="Millares 17 2 3 2 3" xfId="2257"/>
    <cellStyle name="Millares 17 2 3 2 3 2" xfId="2258"/>
    <cellStyle name="Millares 17 2 3 2 3 2 2" xfId="2259"/>
    <cellStyle name="Millares 17 2 3 2 3 3" xfId="2260"/>
    <cellStyle name="Millares 17 2 3 2 4" xfId="2261"/>
    <cellStyle name="Millares 17 2 3 2 4 2" xfId="2262"/>
    <cellStyle name="Millares 17 2 3 2 5" xfId="2263"/>
    <cellStyle name="Millares 17 2 3 3" xfId="2264"/>
    <cellStyle name="Millares 17 2 3 3 2" xfId="2265"/>
    <cellStyle name="Millares 17 2 3 3 2 2" xfId="2266"/>
    <cellStyle name="Millares 17 2 3 3 3" xfId="2267"/>
    <cellStyle name="Millares 17 2 3 4" xfId="2268"/>
    <cellStyle name="Millares 17 2 3 4 2" xfId="2269"/>
    <cellStyle name="Millares 17 2 3 4 2 2" xfId="2270"/>
    <cellStyle name="Millares 17 2 3 4 3" xfId="2271"/>
    <cellStyle name="Millares 17 2 3 5" xfId="2272"/>
    <cellStyle name="Millares 17 2 3 5 2" xfId="2273"/>
    <cellStyle name="Millares 17 2 3 5 2 2" xfId="2274"/>
    <cellStyle name="Millares 17 2 3 5 3" xfId="2275"/>
    <cellStyle name="Millares 17 2 3 6" xfId="321"/>
    <cellStyle name="Millares 17 2 3 6 2" xfId="2277"/>
    <cellStyle name="Millares 17 2 3 6 3" xfId="2276"/>
    <cellStyle name="Millares 17 2 3 6 4" xfId="3476"/>
    <cellStyle name="Millares 17 2 3 6 4 2" xfId="3741"/>
    <cellStyle name="Millares 17 2 3 6 5" xfId="3594"/>
    <cellStyle name="Millares 17 2 3 7" xfId="2278"/>
    <cellStyle name="Millares 17 2 3 8" xfId="2251"/>
    <cellStyle name="Millares 17 2 3 9" xfId="547"/>
    <cellStyle name="Millares 17 2 4" xfId="194"/>
    <cellStyle name="Millares 17 2 4 2" xfId="2280"/>
    <cellStyle name="Millares 17 2 4 2 2" xfId="2281"/>
    <cellStyle name="Millares 17 2 4 2 2 2" xfId="2282"/>
    <cellStyle name="Millares 17 2 4 2 3" xfId="2283"/>
    <cellStyle name="Millares 17 2 4 3" xfId="2284"/>
    <cellStyle name="Millares 17 2 4 3 2" xfId="2285"/>
    <cellStyle name="Millares 17 2 4 3 2 2" xfId="2286"/>
    <cellStyle name="Millares 17 2 4 3 3" xfId="2287"/>
    <cellStyle name="Millares 17 2 4 4" xfId="2288"/>
    <cellStyle name="Millares 17 2 4 4 2" xfId="2289"/>
    <cellStyle name="Millares 17 2 4 5" xfId="2290"/>
    <cellStyle name="Millares 17 2 4 6" xfId="2279"/>
    <cellStyle name="Millares 17 2 4 7" xfId="938"/>
    <cellStyle name="Millares 17 2 4 7 2" xfId="3705"/>
    <cellStyle name="Millares 17 2 4 8" xfId="3562"/>
    <cellStyle name="Millares 17 2 5" xfId="2291"/>
    <cellStyle name="Millares 17 2 5 2" xfId="2292"/>
    <cellStyle name="Millares 17 2 5 2 2" xfId="2293"/>
    <cellStyle name="Millares 17 2 5 3" xfId="2294"/>
    <cellStyle name="Millares 17 2 6" xfId="2295"/>
    <cellStyle name="Millares 17 2 6 2" xfId="2296"/>
    <cellStyle name="Millares 17 2 6 2 2" xfId="2297"/>
    <cellStyle name="Millares 17 2 6 3" xfId="2298"/>
    <cellStyle name="Millares 17 2 7" xfId="2299"/>
    <cellStyle name="Millares 17 2 7 2" xfId="2300"/>
    <cellStyle name="Millares 17 2 7 2 2" xfId="2301"/>
    <cellStyle name="Millares 17 2 7 3" xfId="2302"/>
    <cellStyle name="Millares 17 2 8" xfId="2303"/>
    <cellStyle name="Millares 17 2 8 2" xfId="2304"/>
    <cellStyle name="Millares 17 2 9" xfId="2305"/>
    <cellStyle name="Millares 17 3" xfId="462"/>
    <cellStyle name="Millares 17 3 2" xfId="632"/>
    <cellStyle name="Millares 17 3 3" xfId="2306"/>
    <cellStyle name="Millares 17 3 3 2" xfId="3722"/>
    <cellStyle name="Millares 17 4" xfId="546"/>
    <cellStyle name="Millares 17 5" xfId="939"/>
    <cellStyle name="Millares 17 5 2" xfId="3706"/>
    <cellStyle name="Millares 17 6" xfId="2193"/>
    <cellStyle name="Millares 17 6 2" xfId="3721"/>
    <cellStyle name="Millares 17 7" xfId="373"/>
    <cellStyle name="Millares 18" xfId="314"/>
    <cellStyle name="Millares 18 10" xfId="2307"/>
    <cellStyle name="Millares 18 11" xfId="693"/>
    <cellStyle name="Millares 18 11 2" xfId="3641"/>
    <cellStyle name="Millares 18 12" xfId="3471"/>
    <cellStyle name="Millares 18 12 2" xfId="3736"/>
    <cellStyle name="Millares 18 13" xfId="3589"/>
    <cellStyle name="Millares 18 2" xfId="854"/>
    <cellStyle name="Millares 18 2 10" xfId="3683"/>
    <cellStyle name="Millares 18 2 2" xfId="2309"/>
    <cellStyle name="Millares 18 2 2 2" xfId="2310"/>
    <cellStyle name="Millares 18 2 2 2 2" xfId="2311"/>
    <cellStyle name="Millares 18 2 2 2 2 2" xfId="2312"/>
    <cellStyle name="Millares 18 2 2 2 2 2 2" xfId="2313"/>
    <cellStyle name="Millares 18 2 2 2 2 3" xfId="2314"/>
    <cellStyle name="Millares 18 2 2 2 3" xfId="2315"/>
    <cellStyle name="Millares 18 2 2 2 3 2" xfId="2316"/>
    <cellStyle name="Millares 18 2 2 2 3 2 2" xfId="2317"/>
    <cellStyle name="Millares 18 2 2 2 3 3" xfId="2318"/>
    <cellStyle name="Millares 18 2 2 2 4" xfId="2319"/>
    <cellStyle name="Millares 18 2 2 2 4 2" xfId="2320"/>
    <cellStyle name="Millares 18 2 2 2 5" xfId="2321"/>
    <cellStyle name="Millares 18 2 2 3" xfId="2322"/>
    <cellStyle name="Millares 18 2 2 3 2" xfId="2323"/>
    <cellStyle name="Millares 18 2 2 3 2 2" xfId="2324"/>
    <cellStyle name="Millares 18 2 2 3 3" xfId="2325"/>
    <cellStyle name="Millares 18 2 2 4" xfId="2326"/>
    <cellStyle name="Millares 18 2 2 4 2" xfId="2327"/>
    <cellStyle name="Millares 18 2 2 4 2 2" xfId="2328"/>
    <cellStyle name="Millares 18 2 2 4 3" xfId="2329"/>
    <cellStyle name="Millares 18 2 2 5" xfId="2330"/>
    <cellStyle name="Millares 18 2 2 5 2" xfId="2331"/>
    <cellStyle name="Millares 18 2 2 5 2 2" xfId="2332"/>
    <cellStyle name="Millares 18 2 2 5 3" xfId="2333"/>
    <cellStyle name="Millares 18 2 2 6" xfId="2334"/>
    <cellStyle name="Millares 18 2 2 6 2" xfId="2335"/>
    <cellStyle name="Millares 18 2 2 7" xfId="2336"/>
    <cellStyle name="Millares 18 2 3" xfId="2337"/>
    <cellStyle name="Millares 18 2 3 2" xfId="2338"/>
    <cellStyle name="Millares 18 2 3 2 2" xfId="2339"/>
    <cellStyle name="Millares 18 2 3 2 2 2" xfId="2340"/>
    <cellStyle name="Millares 18 2 3 2 3" xfId="2341"/>
    <cellStyle name="Millares 18 2 3 3" xfId="2342"/>
    <cellStyle name="Millares 18 2 3 3 2" xfId="2343"/>
    <cellStyle name="Millares 18 2 3 3 2 2" xfId="2344"/>
    <cellStyle name="Millares 18 2 3 3 3" xfId="2345"/>
    <cellStyle name="Millares 18 2 3 4" xfId="2346"/>
    <cellStyle name="Millares 18 2 3 4 2" xfId="2347"/>
    <cellStyle name="Millares 18 2 3 5" xfId="2348"/>
    <cellStyle name="Millares 18 2 4" xfId="2349"/>
    <cellStyle name="Millares 18 2 4 2" xfId="2350"/>
    <cellStyle name="Millares 18 2 4 2 2" xfId="2351"/>
    <cellStyle name="Millares 18 2 4 3" xfId="2352"/>
    <cellStyle name="Millares 18 2 5" xfId="2353"/>
    <cellStyle name="Millares 18 2 5 2" xfId="2354"/>
    <cellStyle name="Millares 18 2 5 2 2" xfId="2355"/>
    <cellStyle name="Millares 18 2 5 3" xfId="2356"/>
    <cellStyle name="Millares 18 2 6" xfId="2357"/>
    <cellStyle name="Millares 18 2 6 2" xfId="2358"/>
    <cellStyle name="Millares 18 2 6 2 2" xfId="2359"/>
    <cellStyle name="Millares 18 2 6 3" xfId="2360"/>
    <cellStyle name="Millares 18 2 7" xfId="2361"/>
    <cellStyle name="Millares 18 2 7 2" xfId="2362"/>
    <cellStyle name="Millares 18 2 8" xfId="2363"/>
    <cellStyle name="Millares 18 2 9" xfId="2308"/>
    <cellStyle name="Millares 18 3" xfId="2364"/>
    <cellStyle name="Millares 18 3 2" xfId="2365"/>
    <cellStyle name="Millares 18 3 2 2" xfId="2366"/>
    <cellStyle name="Millares 18 3 2 2 2" xfId="2367"/>
    <cellStyle name="Millares 18 3 2 2 2 2" xfId="2368"/>
    <cellStyle name="Millares 18 3 2 2 3" xfId="2369"/>
    <cellStyle name="Millares 18 3 2 3" xfId="2370"/>
    <cellStyle name="Millares 18 3 2 3 2" xfId="2371"/>
    <cellStyle name="Millares 18 3 2 3 2 2" xfId="2372"/>
    <cellStyle name="Millares 18 3 2 3 3" xfId="2373"/>
    <cellStyle name="Millares 18 3 2 4" xfId="2374"/>
    <cellStyle name="Millares 18 3 2 4 2" xfId="2375"/>
    <cellStyle name="Millares 18 3 2 5" xfId="2376"/>
    <cellStyle name="Millares 18 3 3" xfId="2377"/>
    <cellStyle name="Millares 18 3 3 2" xfId="2378"/>
    <cellStyle name="Millares 18 3 3 2 2" xfId="2379"/>
    <cellStyle name="Millares 18 3 3 3" xfId="2380"/>
    <cellStyle name="Millares 18 3 4" xfId="2381"/>
    <cellStyle name="Millares 18 3 4 2" xfId="2382"/>
    <cellStyle name="Millares 18 3 4 2 2" xfId="2383"/>
    <cellStyle name="Millares 18 3 4 3" xfId="2384"/>
    <cellStyle name="Millares 18 3 5" xfId="2385"/>
    <cellStyle name="Millares 18 3 5 2" xfId="2386"/>
    <cellStyle name="Millares 18 3 5 2 2" xfId="2387"/>
    <cellStyle name="Millares 18 3 5 3" xfId="2388"/>
    <cellStyle name="Millares 18 3 6" xfId="2389"/>
    <cellStyle name="Millares 18 3 6 2" xfId="2390"/>
    <cellStyle name="Millares 18 3 7" xfId="2391"/>
    <cellStyle name="Millares 18 4" xfId="2392"/>
    <cellStyle name="Millares 18 4 2" xfId="2393"/>
    <cellStyle name="Millares 18 4 2 2" xfId="2394"/>
    <cellStyle name="Millares 18 4 2 2 2" xfId="2395"/>
    <cellStyle name="Millares 18 4 2 3" xfId="2396"/>
    <cellStyle name="Millares 18 4 3" xfId="2397"/>
    <cellStyle name="Millares 18 4 3 2" xfId="2398"/>
    <cellStyle name="Millares 18 4 3 2 2" xfId="2399"/>
    <cellStyle name="Millares 18 4 3 3" xfId="2400"/>
    <cellStyle name="Millares 18 4 4" xfId="2401"/>
    <cellStyle name="Millares 18 4 4 2" xfId="2402"/>
    <cellStyle name="Millares 18 4 5" xfId="2403"/>
    <cellStyle name="Millares 18 5" xfId="2404"/>
    <cellStyle name="Millares 18 5 2" xfId="2405"/>
    <cellStyle name="Millares 18 5 2 2" xfId="2406"/>
    <cellStyle name="Millares 18 5 3" xfId="2407"/>
    <cellStyle name="Millares 18 6" xfId="2408"/>
    <cellStyle name="Millares 18 6 2" xfId="2409"/>
    <cellStyle name="Millares 18 6 2 2" xfId="2410"/>
    <cellStyle name="Millares 18 6 3" xfId="2411"/>
    <cellStyle name="Millares 18 7" xfId="2412"/>
    <cellStyle name="Millares 18 7 2" xfId="2413"/>
    <cellStyle name="Millares 18 7 2 2" xfId="2414"/>
    <cellStyle name="Millares 18 7 3" xfId="2415"/>
    <cellStyle name="Millares 18 8" xfId="2416"/>
    <cellStyle name="Millares 18 8 2" xfId="2417"/>
    <cellStyle name="Millares 18 9" xfId="2418"/>
    <cellStyle name="Millares 19" xfId="318"/>
    <cellStyle name="Millares 19 2" xfId="2419"/>
    <cellStyle name="Millares 19 2 2" xfId="3723"/>
    <cellStyle name="Millares 19 3" xfId="346"/>
    <cellStyle name="Millares 19 3 2" xfId="3601"/>
    <cellStyle name="Millares 19 4" xfId="3473"/>
    <cellStyle name="Millares 19 4 2" xfId="3738"/>
    <cellStyle name="Millares 19 5" xfId="3591"/>
    <cellStyle name="Millares 2" xfId="42"/>
    <cellStyle name="Millares 2 10" xfId="3479"/>
    <cellStyle name="Millares 2 10 2" xfId="3744"/>
    <cellStyle name="Millares 2 11" xfId="3483"/>
    <cellStyle name="Millares 2 11 2" xfId="3748"/>
    <cellStyle name="Millares 2 12" xfId="3531"/>
    <cellStyle name="Millares 2 12 2" xfId="3780"/>
    <cellStyle name="Millares 2 2" xfId="43"/>
    <cellStyle name="Millares 2 2 2" xfId="44"/>
    <cellStyle name="Millares 2 2 2 2" xfId="3505"/>
    <cellStyle name="Millares 2 2 2 2 2" xfId="3765"/>
    <cellStyle name="Millares 2 2 3" xfId="3487"/>
    <cellStyle name="Millares 2 2 3 2" xfId="3752"/>
    <cellStyle name="Millares 2 3" xfId="45"/>
    <cellStyle name="Millares 2 3 2" xfId="208"/>
    <cellStyle name="Millares 2 3 2 2" xfId="377"/>
    <cellStyle name="Millares 2 3 2 2 2" xfId="465"/>
    <cellStyle name="Millares 2 3 2 2 2 2" xfId="635"/>
    <cellStyle name="Millares 2 3 2 2 2 2 2" xfId="2420"/>
    <cellStyle name="Millares 2 3 2 2 2 2 2 2" xfId="2421"/>
    <cellStyle name="Millares 2 3 2 2 2 2 2 2 2" xfId="2422"/>
    <cellStyle name="Millares 2 3 2 2 2 2 2 3" xfId="2423"/>
    <cellStyle name="Millares 2 3 2 2 2 2 3" xfId="2424"/>
    <cellStyle name="Millares 2 3 2 2 2 2 3 2" xfId="2425"/>
    <cellStyle name="Millares 2 3 2 2 2 2 3 2 2" xfId="2426"/>
    <cellStyle name="Millares 2 3 2 2 2 2 3 3" xfId="2427"/>
    <cellStyle name="Millares 2 3 2 2 2 2 4" xfId="2428"/>
    <cellStyle name="Millares 2 3 2 2 2 2 4 2" xfId="2429"/>
    <cellStyle name="Millares 2 3 2 2 2 2 5" xfId="2430"/>
    <cellStyle name="Millares 2 3 2 2 2 3" xfId="2431"/>
    <cellStyle name="Millares 2 3 2 2 2 3 2" xfId="2432"/>
    <cellStyle name="Millares 2 3 2 2 2 3 2 2" xfId="2433"/>
    <cellStyle name="Millares 2 3 2 2 2 3 3" xfId="2434"/>
    <cellStyle name="Millares 2 3 2 2 2 4" xfId="2435"/>
    <cellStyle name="Millares 2 3 2 2 2 4 2" xfId="2436"/>
    <cellStyle name="Millares 2 3 2 2 2 4 2 2" xfId="2437"/>
    <cellStyle name="Millares 2 3 2 2 2 4 3" xfId="2438"/>
    <cellStyle name="Millares 2 3 2 2 2 5" xfId="2439"/>
    <cellStyle name="Millares 2 3 2 2 2 5 2" xfId="2440"/>
    <cellStyle name="Millares 2 3 2 2 2 5 2 2" xfId="2441"/>
    <cellStyle name="Millares 2 3 2 2 2 5 3" xfId="2442"/>
    <cellStyle name="Millares 2 3 2 2 2 6" xfId="2443"/>
    <cellStyle name="Millares 2 3 2 2 2 6 2" xfId="2444"/>
    <cellStyle name="Millares 2 3 2 2 2 7" xfId="2445"/>
    <cellStyle name="Millares 2 3 2 2 3" xfId="549"/>
    <cellStyle name="Millares 2 3 2 2 3 2" xfId="2446"/>
    <cellStyle name="Millares 2 3 2 2 3 2 2" xfId="2447"/>
    <cellStyle name="Millares 2 3 2 2 3 2 2 2" xfId="2448"/>
    <cellStyle name="Millares 2 3 2 2 3 2 3" xfId="2449"/>
    <cellStyle name="Millares 2 3 2 2 3 3" xfId="2450"/>
    <cellStyle name="Millares 2 3 2 2 3 3 2" xfId="2451"/>
    <cellStyle name="Millares 2 3 2 2 3 3 2 2" xfId="2452"/>
    <cellStyle name="Millares 2 3 2 2 3 3 3" xfId="2453"/>
    <cellStyle name="Millares 2 3 2 2 3 4" xfId="2454"/>
    <cellStyle name="Millares 2 3 2 2 3 4 2" xfId="2455"/>
    <cellStyle name="Millares 2 3 2 2 3 5" xfId="2456"/>
    <cellStyle name="Millares 2 3 2 2 4" xfId="2457"/>
    <cellStyle name="Millares 2 3 2 2 4 2" xfId="2458"/>
    <cellStyle name="Millares 2 3 2 2 4 2 2" xfId="2459"/>
    <cellStyle name="Millares 2 3 2 2 4 3" xfId="2460"/>
    <cellStyle name="Millares 2 3 2 2 5" xfId="2461"/>
    <cellStyle name="Millares 2 3 2 2 5 2" xfId="2462"/>
    <cellStyle name="Millares 2 3 2 2 5 2 2" xfId="2463"/>
    <cellStyle name="Millares 2 3 2 2 5 3" xfId="2464"/>
    <cellStyle name="Millares 2 3 2 2 6" xfId="2465"/>
    <cellStyle name="Millares 2 3 2 2 6 2" xfId="2466"/>
    <cellStyle name="Millares 2 3 2 2 6 2 2" xfId="2467"/>
    <cellStyle name="Millares 2 3 2 2 6 3" xfId="2468"/>
    <cellStyle name="Millares 2 3 2 2 7" xfId="2469"/>
    <cellStyle name="Millares 2 3 2 2 7 2" xfId="2470"/>
    <cellStyle name="Millares 2 3 2 2 8" xfId="2471"/>
    <cellStyle name="Millares 2 3 2 3" xfId="464"/>
    <cellStyle name="Millares 2 3 2 3 2" xfId="634"/>
    <cellStyle name="Millares 2 3 2 3 2 2" xfId="2472"/>
    <cellStyle name="Millares 2 3 2 3 2 2 2" xfId="2473"/>
    <cellStyle name="Millares 2 3 2 3 2 2 2 2" xfId="2474"/>
    <cellStyle name="Millares 2 3 2 3 2 2 3" xfId="2475"/>
    <cellStyle name="Millares 2 3 2 3 2 3" xfId="2476"/>
    <cellStyle name="Millares 2 3 2 3 2 3 2" xfId="2477"/>
    <cellStyle name="Millares 2 3 2 3 2 3 2 2" xfId="2478"/>
    <cellStyle name="Millares 2 3 2 3 2 3 3" xfId="2479"/>
    <cellStyle name="Millares 2 3 2 3 2 4" xfId="2480"/>
    <cellStyle name="Millares 2 3 2 3 2 4 2" xfId="2481"/>
    <cellStyle name="Millares 2 3 2 3 2 5" xfId="2482"/>
    <cellStyle name="Millares 2 3 2 3 3" xfId="2483"/>
    <cellStyle name="Millares 2 3 2 3 3 2" xfId="2484"/>
    <cellStyle name="Millares 2 3 2 3 3 2 2" xfId="2485"/>
    <cellStyle name="Millares 2 3 2 3 3 3" xfId="2486"/>
    <cellStyle name="Millares 2 3 2 3 4" xfId="2487"/>
    <cellStyle name="Millares 2 3 2 3 4 2" xfId="2488"/>
    <cellStyle name="Millares 2 3 2 3 4 2 2" xfId="2489"/>
    <cellStyle name="Millares 2 3 2 3 4 3" xfId="2490"/>
    <cellStyle name="Millares 2 3 2 3 5" xfId="2491"/>
    <cellStyle name="Millares 2 3 2 3 5 2" xfId="2492"/>
    <cellStyle name="Millares 2 3 2 3 5 2 2" xfId="2493"/>
    <cellStyle name="Millares 2 3 2 3 5 3" xfId="2494"/>
    <cellStyle name="Millares 2 3 2 3 6" xfId="2495"/>
    <cellStyle name="Millares 2 3 2 3 6 2" xfId="2496"/>
    <cellStyle name="Millares 2 3 2 3 7" xfId="2497"/>
    <cellStyle name="Millares 2 3 2 4" xfId="548"/>
    <cellStyle name="Millares 2 3 2 4 2" xfId="2498"/>
    <cellStyle name="Millares 2 3 2 4 2 2" xfId="2499"/>
    <cellStyle name="Millares 2 3 2 4 2 2 2" xfId="2500"/>
    <cellStyle name="Millares 2 3 2 4 2 3" xfId="2501"/>
    <cellStyle name="Millares 2 3 2 4 3" xfId="2502"/>
    <cellStyle name="Millares 2 3 2 4 3 2" xfId="2503"/>
    <cellStyle name="Millares 2 3 2 4 3 2 2" xfId="2504"/>
    <cellStyle name="Millares 2 3 2 4 3 3" xfId="2505"/>
    <cellStyle name="Millares 2 3 2 4 4" xfId="2506"/>
    <cellStyle name="Millares 2 3 2 4 4 2" xfId="2507"/>
    <cellStyle name="Millares 2 3 2 4 5" xfId="2508"/>
    <cellStyle name="Millares 2 3 2 5" xfId="2509"/>
    <cellStyle name="Millares 2 3 2 5 2" xfId="2510"/>
    <cellStyle name="Millares 2 3 2 5 2 2" xfId="2511"/>
    <cellStyle name="Millares 2 3 2 5 3" xfId="2512"/>
    <cellStyle name="Millares 2 3 2 6" xfId="2513"/>
    <cellStyle name="Millares 2 3 2 6 2" xfId="2514"/>
    <cellStyle name="Millares 2 3 2 6 2 2" xfId="2515"/>
    <cellStyle name="Millares 2 3 2 6 3" xfId="2516"/>
    <cellStyle name="Millares 2 3 2 7" xfId="2517"/>
    <cellStyle name="Millares 2 3 2 7 2" xfId="2518"/>
    <cellStyle name="Millares 2 3 2 7 2 2" xfId="2519"/>
    <cellStyle name="Millares 2 3 2 7 3" xfId="2520"/>
    <cellStyle name="Millares 2 3 2 8" xfId="2521"/>
    <cellStyle name="Millares 2 3 2 8 2" xfId="2522"/>
    <cellStyle name="Millares 2 3 2 9" xfId="2523"/>
    <cellStyle name="Millares 2 3 3" xfId="244"/>
    <cellStyle name="Millares 2 3 3 2" xfId="379"/>
    <cellStyle name="Millares 2 3 3 2 2" xfId="467"/>
    <cellStyle name="Millares 2 3 3 2 2 2" xfId="637"/>
    <cellStyle name="Millares 2 3 3 2 3" xfId="551"/>
    <cellStyle name="Millares 2 3 3 3" xfId="466"/>
    <cellStyle name="Millares 2 3 3 3 2" xfId="636"/>
    <cellStyle name="Millares 2 3 3 4" xfId="550"/>
    <cellStyle name="Millares 2 3 3 5" xfId="2524"/>
    <cellStyle name="Millares 2 3 3 5 2" xfId="3724"/>
    <cellStyle name="Millares 2 3 3 6" xfId="378"/>
    <cellStyle name="Millares 2 3 3 7" xfId="3575"/>
    <cellStyle name="Millares 2 3 4" xfId="182"/>
    <cellStyle name="Millares 2 3 4 2" xfId="857"/>
    <cellStyle name="Millares 2 3 4 2 2" xfId="3686"/>
    <cellStyle name="Millares 2 3 4 3" xfId="696"/>
    <cellStyle name="Millares 2 3 4 3 2" xfId="3644"/>
    <cellStyle name="Millares 2 3 4 4" xfId="3557"/>
    <cellStyle name="Millares 2 3 5" xfId="695"/>
    <cellStyle name="Millares 2 3 5 2" xfId="856"/>
    <cellStyle name="Millares 2 3 5 2 2" xfId="3685"/>
    <cellStyle name="Millares 2 3 5 3" xfId="3643"/>
    <cellStyle name="Millares 2 3 6" xfId="376"/>
    <cellStyle name="Millares 2 3 6 2" xfId="3610"/>
    <cellStyle name="Millares 2 4" xfId="46"/>
    <cellStyle name="Millares 2 4 10" xfId="3500"/>
    <cellStyle name="Millares 2 4 10 2" xfId="3761"/>
    <cellStyle name="Millares 2 4 2" xfId="380"/>
    <cellStyle name="Millares 2 4 2 2" xfId="469"/>
    <cellStyle name="Millares 2 4 2 2 2" xfId="639"/>
    <cellStyle name="Millares 2 4 2 2 2 2" xfId="2525"/>
    <cellStyle name="Millares 2 4 2 2 2 2 2" xfId="2526"/>
    <cellStyle name="Millares 2 4 2 2 2 2 2 2" xfId="2527"/>
    <cellStyle name="Millares 2 4 2 2 2 2 3" xfId="2528"/>
    <cellStyle name="Millares 2 4 2 2 2 3" xfId="2529"/>
    <cellStyle name="Millares 2 4 2 2 2 3 2" xfId="2530"/>
    <cellStyle name="Millares 2 4 2 2 2 3 2 2" xfId="2531"/>
    <cellStyle name="Millares 2 4 2 2 2 3 3" xfId="2532"/>
    <cellStyle name="Millares 2 4 2 2 2 4" xfId="2533"/>
    <cellStyle name="Millares 2 4 2 2 2 4 2" xfId="2534"/>
    <cellStyle name="Millares 2 4 2 2 2 5" xfId="2535"/>
    <cellStyle name="Millares 2 4 2 2 3" xfId="2536"/>
    <cellStyle name="Millares 2 4 2 2 3 2" xfId="2537"/>
    <cellStyle name="Millares 2 4 2 2 3 2 2" xfId="2538"/>
    <cellStyle name="Millares 2 4 2 2 3 3" xfId="2539"/>
    <cellStyle name="Millares 2 4 2 2 4" xfId="2540"/>
    <cellStyle name="Millares 2 4 2 2 4 2" xfId="2541"/>
    <cellStyle name="Millares 2 4 2 2 4 2 2" xfId="2542"/>
    <cellStyle name="Millares 2 4 2 2 4 3" xfId="2543"/>
    <cellStyle name="Millares 2 4 2 2 5" xfId="2544"/>
    <cellStyle name="Millares 2 4 2 2 5 2" xfId="2545"/>
    <cellStyle name="Millares 2 4 2 2 5 2 2" xfId="2546"/>
    <cellStyle name="Millares 2 4 2 2 5 3" xfId="2547"/>
    <cellStyle name="Millares 2 4 2 2 6" xfId="2548"/>
    <cellStyle name="Millares 2 4 2 2 6 2" xfId="2549"/>
    <cellStyle name="Millares 2 4 2 2 7" xfId="2550"/>
    <cellStyle name="Millares 2 4 2 3" xfId="553"/>
    <cellStyle name="Millares 2 4 2 3 2" xfId="2551"/>
    <cellStyle name="Millares 2 4 2 3 2 2" xfId="2552"/>
    <cellStyle name="Millares 2 4 2 3 2 2 2" xfId="2553"/>
    <cellStyle name="Millares 2 4 2 3 2 3" xfId="2554"/>
    <cellStyle name="Millares 2 4 2 3 3" xfId="2555"/>
    <cellStyle name="Millares 2 4 2 3 3 2" xfId="2556"/>
    <cellStyle name="Millares 2 4 2 3 3 2 2" xfId="2557"/>
    <cellStyle name="Millares 2 4 2 3 3 3" xfId="2558"/>
    <cellStyle name="Millares 2 4 2 3 4" xfId="2559"/>
    <cellStyle name="Millares 2 4 2 3 4 2" xfId="2560"/>
    <cellStyle name="Millares 2 4 2 3 5" xfId="2561"/>
    <cellStyle name="Millares 2 4 2 4" xfId="2562"/>
    <cellStyle name="Millares 2 4 2 4 2" xfId="2563"/>
    <cellStyle name="Millares 2 4 2 4 2 2" xfId="2564"/>
    <cellStyle name="Millares 2 4 2 4 3" xfId="2565"/>
    <cellStyle name="Millares 2 4 2 5" xfId="2566"/>
    <cellStyle name="Millares 2 4 2 5 2" xfId="2567"/>
    <cellStyle name="Millares 2 4 2 5 2 2" xfId="2568"/>
    <cellStyle name="Millares 2 4 2 5 3" xfId="2569"/>
    <cellStyle name="Millares 2 4 2 6" xfId="2570"/>
    <cellStyle name="Millares 2 4 2 6 2" xfId="2571"/>
    <cellStyle name="Millares 2 4 2 6 2 2" xfId="2572"/>
    <cellStyle name="Millares 2 4 2 6 3" xfId="2573"/>
    <cellStyle name="Millares 2 4 2 7" xfId="2574"/>
    <cellStyle name="Millares 2 4 2 7 2" xfId="2575"/>
    <cellStyle name="Millares 2 4 2 8" xfId="2576"/>
    <cellStyle name="Millares 2 4 3" xfId="468"/>
    <cellStyle name="Millares 2 4 3 2" xfId="638"/>
    <cellStyle name="Millares 2 4 3 2 2" xfId="2577"/>
    <cellStyle name="Millares 2 4 3 2 2 2" xfId="2578"/>
    <cellStyle name="Millares 2 4 3 2 2 2 2" xfId="2579"/>
    <cellStyle name="Millares 2 4 3 2 2 3" xfId="2580"/>
    <cellStyle name="Millares 2 4 3 2 3" xfId="2581"/>
    <cellStyle name="Millares 2 4 3 2 3 2" xfId="2582"/>
    <cellStyle name="Millares 2 4 3 2 3 2 2" xfId="2583"/>
    <cellStyle name="Millares 2 4 3 2 3 3" xfId="2584"/>
    <cellStyle name="Millares 2 4 3 2 4" xfId="2585"/>
    <cellStyle name="Millares 2 4 3 2 4 2" xfId="2586"/>
    <cellStyle name="Millares 2 4 3 2 5" xfId="2587"/>
    <cellStyle name="Millares 2 4 3 3" xfId="2588"/>
    <cellStyle name="Millares 2 4 3 3 2" xfId="2589"/>
    <cellStyle name="Millares 2 4 3 3 2 2" xfId="2590"/>
    <cellStyle name="Millares 2 4 3 3 3" xfId="2591"/>
    <cellStyle name="Millares 2 4 3 4" xfId="2592"/>
    <cellStyle name="Millares 2 4 3 4 2" xfId="2593"/>
    <cellStyle name="Millares 2 4 3 4 2 2" xfId="2594"/>
    <cellStyle name="Millares 2 4 3 4 3" xfId="2595"/>
    <cellStyle name="Millares 2 4 3 5" xfId="2596"/>
    <cellStyle name="Millares 2 4 3 5 2" xfId="2597"/>
    <cellStyle name="Millares 2 4 3 5 2 2" xfId="2598"/>
    <cellStyle name="Millares 2 4 3 5 3" xfId="2599"/>
    <cellStyle name="Millares 2 4 3 6" xfId="2600"/>
    <cellStyle name="Millares 2 4 3 6 2" xfId="2601"/>
    <cellStyle name="Millares 2 4 3 7" xfId="2602"/>
    <cellStyle name="Millares 2 4 4" xfId="552"/>
    <cellStyle name="Millares 2 4 4 2" xfId="2603"/>
    <cellStyle name="Millares 2 4 4 2 2" xfId="2604"/>
    <cellStyle name="Millares 2 4 4 2 2 2" xfId="2605"/>
    <cellStyle name="Millares 2 4 4 2 3" xfId="2606"/>
    <cellStyle name="Millares 2 4 4 3" xfId="2607"/>
    <cellStyle name="Millares 2 4 4 3 2" xfId="2608"/>
    <cellStyle name="Millares 2 4 4 3 2 2" xfId="2609"/>
    <cellStyle name="Millares 2 4 4 3 3" xfId="2610"/>
    <cellStyle name="Millares 2 4 4 4" xfId="2611"/>
    <cellStyle name="Millares 2 4 4 4 2" xfId="2612"/>
    <cellStyle name="Millares 2 4 4 5" xfId="2613"/>
    <cellStyle name="Millares 2 4 5" xfId="2614"/>
    <cellStyle name="Millares 2 4 5 2" xfId="2615"/>
    <cellStyle name="Millares 2 4 5 2 2" xfId="2616"/>
    <cellStyle name="Millares 2 4 5 3" xfId="2617"/>
    <cellStyle name="Millares 2 4 6" xfId="2618"/>
    <cellStyle name="Millares 2 4 6 2" xfId="2619"/>
    <cellStyle name="Millares 2 4 6 2 2" xfId="2620"/>
    <cellStyle name="Millares 2 4 6 3" xfId="2621"/>
    <cellStyle name="Millares 2 4 7" xfId="2622"/>
    <cellStyle name="Millares 2 4 7 2" xfId="2623"/>
    <cellStyle name="Millares 2 4 7 2 2" xfId="2624"/>
    <cellStyle name="Millares 2 4 7 3" xfId="2625"/>
    <cellStyle name="Millares 2 4 8" xfId="2626"/>
    <cellStyle name="Millares 2 4 8 2" xfId="2627"/>
    <cellStyle name="Millares 2 4 9" xfId="2628"/>
    <cellStyle name="Millares 2 5" xfId="243"/>
    <cellStyle name="Millares 2 5 2" xfId="382"/>
    <cellStyle name="Millares 2 5 2 2" xfId="471"/>
    <cellStyle name="Millares 2 5 2 2 2" xfId="641"/>
    <cellStyle name="Millares 2 5 2 3" xfId="555"/>
    <cellStyle name="Millares 2 5 3" xfId="470"/>
    <cellStyle name="Millares 2 5 3 2" xfId="640"/>
    <cellStyle name="Millares 2 5 4" xfId="554"/>
    <cellStyle name="Millares 2 5 5" xfId="2629"/>
    <cellStyle name="Millares 2 5 5 2" xfId="3725"/>
    <cellStyle name="Millares 2 5 6" xfId="381"/>
    <cellStyle name="Millares 2 5 7" xfId="3574"/>
    <cellStyle name="Millares 2 6" xfId="181"/>
    <cellStyle name="Millares 2 6 2" xfId="858"/>
    <cellStyle name="Millares 2 6 2 2" xfId="3687"/>
    <cellStyle name="Millares 2 6 3" xfId="697"/>
    <cellStyle name="Millares 2 6 3 2" xfId="3645"/>
    <cellStyle name="Millares 2 6 4" xfId="3556"/>
    <cellStyle name="Millares 2 7" xfId="301"/>
    <cellStyle name="Millares 2 7 2" xfId="855"/>
    <cellStyle name="Millares 2 7 2 2" xfId="3684"/>
    <cellStyle name="Millares 2 7 3" xfId="694"/>
    <cellStyle name="Millares 2 7 3 2" xfId="3642"/>
    <cellStyle name="Millares 2 7 4" xfId="3468"/>
    <cellStyle name="Millares 2 7 4 2" xfId="3733"/>
    <cellStyle name="Millares 2 7 5" xfId="3586"/>
    <cellStyle name="Millares 2 8" xfId="375"/>
    <cellStyle name="Millares 2 8 2" xfId="3609"/>
    <cellStyle name="Millares 2 9" xfId="324"/>
    <cellStyle name="Millares 2 9 2" xfId="3597"/>
    <cellStyle name="Millares 20" xfId="315"/>
    <cellStyle name="Millares 20 2" xfId="933"/>
    <cellStyle name="Millares 20 2 2" xfId="3702"/>
    <cellStyle name="Millares 20 3" xfId="3472"/>
    <cellStyle name="Millares 20 3 2" xfId="3737"/>
    <cellStyle name="Millares 20 4" xfId="3590"/>
    <cellStyle name="Millares 21" xfId="1559"/>
    <cellStyle name="Millares 21 2" xfId="3711"/>
    <cellStyle name="Millares 22" xfId="3461"/>
    <cellStyle name="Millares 22 2" xfId="3730"/>
    <cellStyle name="Millares 23" xfId="3480"/>
    <cellStyle name="Millares 23 2" xfId="3745"/>
    <cellStyle name="Millares 24" xfId="3520"/>
    <cellStyle name="Millares 24 2" xfId="3775"/>
    <cellStyle name="Millares 25" xfId="3522"/>
    <cellStyle name="Millares 25 2" xfId="3776"/>
    <cellStyle name="Millares 26" xfId="3543"/>
    <cellStyle name="Millares 26 2" xfId="3785"/>
    <cellStyle name="Millares 27" xfId="3545"/>
    <cellStyle name="Millares 3" xfId="47"/>
    <cellStyle name="Millares 3 10" xfId="413"/>
    <cellStyle name="Millares 3 10 2" xfId="3615"/>
    <cellStyle name="Millares 3 11" xfId="3485"/>
    <cellStyle name="Millares 3 11 2" xfId="3750"/>
    <cellStyle name="Millares 3 12" xfId="3536"/>
    <cellStyle name="Millares 3 12 2" xfId="3783"/>
    <cellStyle name="Millares 3 2" xfId="48"/>
    <cellStyle name="Millares 3 2 2" xfId="49"/>
    <cellStyle name="Millares 3 2 3" xfId="3489"/>
    <cellStyle name="Millares 3 3" xfId="50"/>
    <cellStyle name="Millares 3 3 2" xfId="51"/>
    <cellStyle name="Millares 3 3 2 2" xfId="247"/>
    <cellStyle name="Millares 3 3 2 2 2" xfId="862"/>
    <cellStyle name="Millares 3 3 2 2 2 2" xfId="3691"/>
    <cellStyle name="Millares 3 3 2 2 3" xfId="3578"/>
    <cellStyle name="Millares 3 3 2 3" xfId="185"/>
    <cellStyle name="Millares 3 3 2 3 2" xfId="861"/>
    <cellStyle name="Millares 3 3 2 3 2 2" xfId="3690"/>
    <cellStyle name="Millares 3 3 2 3 3" xfId="700"/>
    <cellStyle name="Millares 3 3 2 3 3 2" xfId="3648"/>
    <cellStyle name="Millares 3 3 2 3 4" xfId="3464"/>
    <cellStyle name="Millares 3 3 2 4" xfId="385"/>
    <cellStyle name="Millares 3 3 3" xfId="246"/>
    <cellStyle name="Millares 3 3 3 2" xfId="863"/>
    <cellStyle name="Millares 3 3 3 2 2" xfId="3692"/>
    <cellStyle name="Millares 3 3 3 3" xfId="3577"/>
    <cellStyle name="Millares 3 3 4" xfId="184"/>
    <cellStyle name="Millares 3 3 4 2" xfId="860"/>
    <cellStyle name="Millares 3 3 4 2 2" xfId="3689"/>
    <cellStyle name="Millares 3 3 4 3" xfId="699"/>
    <cellStyle name="Millares 3 3 4 3 2" xfId="3647"/>
    <cellStyle name="Millares 3 3 4 4" xfId="3463"/>
    <cellStyle name="Millares 3 3 5" xfId="384"/>
    <cellStyle name="Millares 3 3 6" xfId="3502"/>
    <cellStyle name="Millares 3 3 6 2" xfId="3763"/>
    <cellStyle name="Millares 3 4" xfId="52"/>
    <cellStyle name="Millares 3 4 2" xfId="53"/>
    <cellStyle name="Millares 3 4 2 2" xfId="54"/>
    <cellStyle name="Millares 3 4 2 2 2" xfId="55"/>
    <cellStyle name="Millares 3 4 2 2 2 2" xfId="211"/>
    <cellStyle name="Millares 3 4 2 2 2 2 2" xfId="303"/>
    <cellStyle name="Millares 3 4 2 2 2 2 2 10" xfId="3588"/>
    <cellStyle name="Millares 3 4 2 2 2 2 2 2" xfId="643"/>
    <cellStyle name="Millares 3 4 2 2 2 2 2 2 2" xfId="2630"/>
    <cellStyle name="Millares 3 4 2 2 2 2 2 2 2 2" xfId="2631"/>
    <cellStyle name="Millares 3 4 2 2 2 2 2 2 2 2 2" xfId="2632"/>
    <cellStyle name="Millares 3 4 2 2 2 2 2 2 2 3" xfId="2633"/>
    <cellStyle name="Millares 3 4 2 2 2 2 2 2 3" xfId="2634"/>
    <cellStyle name="Millares 3 4 2 2 2 2 2 2 3 2" xfId="2635"/>
    <cellStyle name="Millares 3 4 2 2 2 2 2 2 3 2 2" xfId="2636"/>
    <cellStyle name="Millares 3 4 2 2 2 2 2 2 3 3" xfId="2637"/>
    <cellStyle name="Millares 3 4 2 2 2 2 2 2 4" xfId="2638"/>
    <cellStyle name="Millares 3 4 2 2 2 2 2 2 4 2" xfId="2639"/>
    <cellStyle name="Millares 3 4 2 2 2 2 2 2 5" xfId="2640"/>
    <cellStyle name="Millares 3 4 2 2 2 2 2 3" xfId="2641"/>
    <cellStyle name="Millares 3 4 2 2 2 2 2 3 2" xfId="2642"/>
    <cellStyle name="Millares 3 4 2 2 2 2 2 3 2 2" xfId="2643"/>
    <cellStyle name="Millares 3 4 2 2 2 2 2 3 3" xfId="2644"/>
    <cellStyle name="Millares 3 4 2 2 2 2 2 4" xfId="2645"/>
    <cellStyle name="Millares 3 4 2 2 2 2 2 4 2" xfId="2646"/>
    <cellStyle name="Millares 3 4 2 2 2 2 2 4 2 2" xfId="2647"/>
    <cellStyle name="Millares 3 4 2 2 2 2 2 4 3" xfId="2648"/>
    <cellStyle name="Millares 3 4 2 2 2 2 2 5" xfId="2649"/>
    <cellStyle name="Millares 3 4 2 2 2 2 2 5 2" xfId="2650"/>
    <cellStyle name="Millares 3 4 2 2 2 2 2 5 2 2" xfId="2651"/>
    <cellStyle name="Millares 3 4 2 2 2 2 2 5 3" xfId="2652"/>
    <cellStyle name="Millares 3 4 2 2 2 2 2 6" xfId="2653"/>
    <cellStyle name="Millares 3 4 2 2 2 2 2 6 2" xfId="2654"/>
    <cellStyle name="Millares 3 4 2 2 2 2 2 7" xfId="2655"/>
    <cellStyle name="Millares 3 4 2 2 2 2 2 8" xfId="473"/>
    <cellStyle name="Millares 3 4 2 2 2 2 2 9" xfId="3470"/>
    <cellStyle name="Millares 3 4 2 2 2 2 2 9 2" xfId="3735"/>
    <cellStyle name="Millares 3 4 2 2 2 2 3" xfId="557"/>
    <cellStyle name="Millares 3 4 2 2 2 2 3 2" xfId="2656"/>
    <cellStyle name="Millares 3 4 2 2 2 2 3 2 2" xfId="2657"/>
    <cellStyle name="Millares 3 4 2 2 2 2 3 2 2 2" xfId="2658"/>
    <cellStyle name="Millares 3 4 2 2 2 2 3 2 3" xfId="2659"/>
    <cellStyle name="Millares 3 4 2 2 2 2 3 3" xfId="2660"/>
    <cellStyle name="Millares 3 4 2 2 2 2 3 3 2" xfId="2661"/>
    <cellStyle name="Millares 3 4 2 2 2 2 3 3 2 2" xfId="2662"/>
    <cellStyle name="Millares 3 4 2 2 2 2 3 3 3" xfId="2663"/>
    <cellStyle name="Millares 3 4 2 2 2 2 3 4" xfId="2664"/>
    <cellStyle name="Millares 3 4 2 2 2 2 3 4 2" xfId="2665"/>
    <cellStyle name="Millares 3 4 2 2 2 2 3 5" xfId="2666"/>
    <cellStyle name="Millares 3 4 2 2 2 2 4" xfId="935"/>
    <cellStyle name="Millares 3 4 2 2 2 2 4 2" xfId="2668"/>
    <cellStyle name="Millares 3 4 2 2 2 2 4 2 2" xfId="2669"/>
    <cellStyle name="Millares 3 4 2 2 2 2 4 3" xfId="2670"/>
    <cellStyle name="Millares 3 4 2 2 2 2 4 4" xfId="2667"/>
    <cellStyle name="Millares 3 4 2 2 2 2 4 5" xfId="3703"/>
    <cellStyle name="Millares 3 4 2 2 2 2 5" xfId="2671"/>
    <cellStyle name="Millares 3 4 2 2 2 2 5 2" xfId="2672"/>
    <cellStyle name="Millares 3 4 2 2 2 2 5 2 2" xfId="2673"/>
    <cellStyle name="Millares 3 4 2 2 2 2 5 3" xfId="2674"/>
    <cellStyle name="Millares 3 4 2 2 2 2 6" xfId="2675"/>
    <cellStyle name="Millares 3 4 2 2 2 2 6 2" xfId="2676"/>
    <cellStyle name="Millares 3 4 2 2 2 2 6 2 2" xfId="2677"/>
    <cellStyle name="Millares 3 4 2 2 2 2 6 3" xfId="2678"/>
    <cellStyle name="Millares 3 4 2 2 2 2 7" xfId="2679"/>
    <cellStyle name="Millares 3 4 2 2 2 2 7 2" xfId="2680"/>
    <cellStyle name="Millares 3 4 2 2 2 2 8" xfId="2681"/>
    <cellStyle name="Millares 3 4 2 2 2 3" xfId="302"/>
    <cellStyle name="Millares 3 4 2 2 2 3 10" xfId="3587"/>
    <cellStyle name="Millares 3 4 2 2 2 3 2" xfId="642"/>
    <cellStyle name="Millares 3 4 2 2 2 3 2 2" xfId="2682"/>
    <cellStyle name="Millares 3 4 2 2 2 3 2 2 2" xfId="2683"/>
    <cellStyle name="Millares 3 4 2 2 2 3 2 2 2 2" xfId="2684"/>
    <cellStyle name="Millares 3 4 2 2 2 3 2 2 3" xfId="2685"/>
    <cellStyle name="Millares 3 4 2 2 2 3 2 3" xfId="2686"/>
    <cellStyle name="Millares 3 4 2 2 2 3 2 3 2" xfId="2687"/>
    <cellStyle name="Millares 3 4 2 2 2 3 2 3 2 2" xfId="2688"/>
    <cellStyle name="Millares 3 4 2 2 2 3 2 3 3" xfId="2689"/>
    <cellStyle name="Millares 3 4 2 2 2 3 2 4" xfId="2690"/>
    <cellStyle name="Millares 3 4 2 2 2 3 2 4 2" xfId="2691"/>
    <cellStyle name="Millares 3 4 2 2 2 3 2 5" xfId="2692"/>
    <cellStyle name="Millares 3 4 2 2 2 3 3" xfId="2693"/>
    <cellStyle name="Millares 3 4 2 2 2 3 3 2" xfId="2694"/>
    <cellStyle name="Millares 3 4 2 2 2 3 3 2 2" xfId="2695"/>
    <cellStyle name="Millares 3 4 2 2 2 3 3 3" xfId="2696"/>
    <cellStyle name="Millares 3 4 2 2 2 3 4" xfId="2697"/>
    <cellStyle name="Millares 3 4 2 2 2 3 4 2" xfId="2698"/>
    <cellStyle name="Millares 3 4 2 2 2 3 4 2 2" xfId="2699"/>
    <cellStyle name="Millares 3 4 2 2 2 3 4 3" xfId="2700"/>
    <cellStyle name="Millares 3 4 2 2 2 3 5" xfId="2701"/>
    <cellStyle name="Millares 3 4 2 2 2 3 5 2" xfId="2702"/>
    <cellStyle name="Millares 3 4 2 2 2 3 5 2 2" xfId="2703"/>
    <cellStyle name="Millares 3 4 2 2 2 3 5 3" xfId="2704"/>
    <cellStyle name="Millares 3 4 2 2 2 3 6" xfId="2705"/>
    <cellStyle name="Millares 3 4 2 2 2 3 6 2" xfId="2706"/>
    <cellStyle name="Millares 3 4 2 2 2 3 7" xfId="2707"/>
    <cellStyle name="Millares 3 4 2 2 2 3 8" xfId="472"/>
    <cellStyle name="Millares 3 4 2 2 2 3 9" xfId="3469"/>
    <cellStyle name="Millares 3 4 2 2 2 3 9 2" xfId="3734"/>
    <cellStyle name="Millares 3 4 2 2 2 4" xfId="556"/>
    <cellStyle name="Millares 3 4 2 2 2 4 2" xfId="2708"/>
    <cellStyle name="Millares 3 4 2 2 2 4 2 2" xfId="2709"/>
    <cellStyle name="Millares 3 4 2 2 2 4 2 2 2" xfId="2710"/>
    <cellStyle name="Millares 3 4 2 2 2 4 2 3" xfId="2711"/>
    <cellStyle name="Millares 3 4 2 2 2 4 3" xfId="2712"/>
    <cellStyle name="Millares 3 4 2 2 2 4 3 2" xfId="2713"/>
    <cellStyle name="Millares 3 4 2 2 2 4 3 2 2" xfId="2714"/>
    <cellStyle name="Millares 3 4 2 2 2 4 3 3" xfId="2715"/>
    <cellStyle name="Millares 3 4 2 2 2 4 4" xfId="2716"/>
    <cellStyle name="Millares 3 4 2 2 2 4 4 2" xfId="2717"/>
    <cellStyle name="Millares 3 4 2 2 2 4 5" xfId="2718"/>
    <cellStyle name="Millares 3 4 2 2 2 5" xfId="936"/>
    <cellStyle name="Millares 3 4 2 2 2 5 2" xfId="2720"/>
    <cellStyle name="Millares 3 4 2 2 2 5 2 2" xfId="2721"/>
    <cellStyle name="Millares 3 4 2 2 2 5 3" xfId="2722"/>
    <cellStyle name="Millares 3 4 2 2 2 5 4" xfId="2719"/>
    <cellStyle name="Millares 3 4 2 2 2 5 5" xfId="3704"/>
    <cellStyle name="Millares 3 4 2 2 2 6" xfId="2723"/>
    <cellStyle name="Millares 3 4 2 2 2 6 2" xfId="2724"/>
    <cellStyle name="Millares 3 4 2 2 2 6 2 2" xfId="2725"/>
    <cellStyle name="Millares 3 4 2 2 2 6 3" xfId="2726"/>
    <cellStyle name="Millares 3 4 2 2 2 7" xfId="2727"/>
    <cellStyle name="Millares 3 4 2 2 2 7 2" xfId="2728"/>
    <cellStyle name="Millares 3 4 2 2 2 7 2 2" xfId="2729"/>
    <cellStyle name="Millares 3 4 2 2 2 7 3" xfId="2730"/>
    <cellStyle name="Millares 3 4 2 2 2 8" xfId="2731"/>
    <cellStyle name="Millares 3 4 2 2 2 8 2" xfId="2732"/>
    <cellStyle name="Millares 3 4 2 2 2 9" xfId="2733"/>
    <cellStyle name="Millares 3 4 2 2 3" xfId="56"/>
    <cellStyle name="Millares 3 4 2 2 3 2" xfId="250"/>
    <cellStyle name="Millares 3 4 2 2 3 2 2" xfId="475"/>
    <cellStyle name="Millares 3 4 2 2 3 2 2 2" xfId="645"/>
    <cellStyle name="Millares 3 4 2 2 3 2 3" xfId="559"/>
    <cellStyle name="Millares 3 4 2 2 3 2 4" xfId="389"/>
    <cellStyle name="Millares 3 4 2 2 3 2 5" xfId="3466"/>
    <cellStyle name="Millares 3 4 2 2 3 2 5 2" xfId="3731"/>
    <cellStyle name="Millares 3 4 2 2 3 2 6" xfId="3581"/>
    <cellStyle name="Millares 3 4 2 2 3 3" xfId="474"/>
    <cellStyle name="Millares 3 4 2 2 3 3 2" xfId="644"/>
    <cellStyle name="Millares 3 4 2 2 3 4" xfId="558"/>
    <cellStyle name="Millares 3 4 2 2 3 5" xfId="2734"/>
    <cellStyle name="Millares 3 4 2 2 3 5 2" xfId="3726"/>
    <cellStyle name="Millares 3 4 2 2 4" xfId="188"/>
    <cellStyle name="Millares 3 4 2 2 4 2" xfId="867"/>
    <cellStyle name="Millares 3 4 2 2 4 2 2" xfId="3696"/>
    <cellStyle name="Millares 3 4 2 2 4 3" xfId="704"/>
    <cellStyle name="Millares 3 4 2 2 4 3 2" xfId="3652"/>
    <cellStyle name="Millares 3 4 2 2 4 4" xfId="3561"/>
    <cellStyle name="Millares 3 4 2 2 5" xfId="703"/>
    <cellStyle name="Millares 3 4 2 2 5 2" xfId="866"/>
    <cellStyle name="Millares 3 4 2 2 5 2 2" xfId="3695"/>
    <cellStyle name="Millares 3 4 2 2 5 3" xfId="3651"/>
    <cellStyle name="Millares 3 4 2 2 6" xfId="388"/>
    <cellStyle name="Millares 3 4 2 2 6 2" xfId="3614"/>
    <cellStyle name="Millares 3 4 2 3" xfId="210"/>
    <cellStyle name="Millares 3 4 2 3 2" xfId="390"/>
    <cellStyle name="Millares 3 4 2 3 2 2" xfId="477"/>
    <cellStyle name="Millares 3 4 2 3 2 2 2" xfId="647"/>
    <cellStyle name="Millares 3 4 2 3 2 2 2 2" xfId="2735"/>
    <cellStyle name="Millares 3 4 2 3 2 2 2 2 2" xfId="2736"/>
    <cellStyle name="Millares 3 4 2 3 2 2 2 2 2 2" xfId="2737"/>
    <cellStyle name="Millares 3 4 2 3 2 2 2 2 3" xfId="2738"/>
    <cellStyle name="Millares 3 4 2 3 2 2 2 3" xfId="2739"/>
    <cellStyle name="Millares 3 4 2 3 2 2 2 3 2" xfId="2740"/>
    <cellStyle name="Millares 3 4 2 3 2 2 2 3 2 2" xfId="2741"/>
    <cellStyle name="Millares 3 4 2 3 2 2 2 3 3" xfId="2742"/>
    <cellStyle name="Millares 3 4 2 3 2 2 2 4" xfId="2743"/>
    <cellStyle name="Millares 3 4 2 3 2 2 2 4 2" xfId="2744"/>
    <cellStyle name="Millares 3 4 2 3 2 2 2 5" xfId="2745"/>
    <cellStyle name="Millares 3 4 2 3 2 2 3" xfId="2746"/>
    <cellStyle name="Millares 3 4 2 3 2 2 3 2" xfId="2747"/>
    <cellStyle name="Millares 3 4 2 3 2 2 3 2 2" xfId="2748"/>
    <cellStyle name="Millares 3 4 2 3 2 2 3 3" xfId="2749"/>
    <cellStyle name="Millares 3 4 2 3 2 2 4" xfId="2750"/>
    <cellStyle name="Millares 3 4 2 3 2 2 4 2" xfId="2751"/>
    <cellStyle name="Millares 3 4 2 3 2 2 4 2 2" xfId="2752"/>
    <cellStyle name="Millares 3 4 2 3 2 2 4 3" xfId="2753"/>
    <cellStyle name="Millares 3 4 2 3 2 2 5" xfId="2754"/>
    <cellStyle name="Millares 3 4 2 3 2 2 5 2" xfId="2755"/>
    <cellStyle name="Millares 3 4 2 3 2 2 5 2 2" xfId="2756"/>
    <cellStyle name="Millares 3 4 2 3 2 2 5 3" xfId="2757"/>
    <cellStyle name="Millares 3 4 2 3 2 2 6" xfId="2758"/>
    <cellStyle name="Millares 3 4 2 3 2 2 6 2" xfId="2759"/>
    <cellStyle name="Millares 3 4 2 3 2 2 7" xfId="2760"/>
    <cellStyle name="Millares 3 4 2 3 2 3" xfId="561"/>
    <cellStyle name="Millares 3 4 2 3 2 3 2" xfId="2761"/>
    <cellStyle name="Millares 3 4 2 3 2 3 2 2" xfId="2762"/>
    <cellStyle name="Millares 3 4 2 3 2 3 2 2 2" xfId="2763"/>
    <cellStyle name="Millares 3 4 2 3 2 3 2 3" xfId="2764"/>
    <cellStyle name="Millares 3 4 2 3 2 3 3" xfId="2765"/>
    <cellStyle name="Millares 3 4 2 3 2 3 3 2" xfId="2766"/>
    <cellStyle name="Millares 3 4 2 3 2 3 3 2 2" xfId="2767"/>
    <cellStyle name="Millares 3 4 2 3 2 3 3 3" xfId="2768"/>
    <cellStyle name="Millares 3 4 2 3 2 3 4" xfId="2769"/>
    <cellStyle name="Millares 3 4 2 3 2 3 4 2" xfId="2770"/>
    <cellStyle name="Millares 3 4 2 3 2 3 5" xfId="2771"/>
    <cellStyle name="Millares 3 4 2 3 2 4" xfId="2772"/>
    <cellStyle name="Millares 3 4 2 3 2 4 2" xfId="2773"/>
    <cellStyle name="Millares 3 4 2 3 2 4 2 2" xfId="2774"/>
    <cellStyle name="Millares 3 4 2 3 2 4 3" xfId="2775"/>
    <cellStyle name="Millares 3 4 2 3 2 5" xfId="2776"/>
    <cellStyle name="Millares 3 4 2 3 2 5 2" xfId="2777"/>
    <cellStyle name="Millares 3 4 2 3 2 5 2 2" xfId="2778"/>
    <cellStyle name="Millares 3 4 2 3 2 5 3" xfId="2779"/>
    <cellStyle name="Millares 3 4 2 3 2 6" xfId="2780"/>
    <cellStyle name="Millares 3 4 2 3 2 6 2" xfId="2781"/>
    <cellStyle name="Millares 3 4 2 3 2 6 2 2" xfId="2782"/>
    <cellStyle name="Millares 3 4 2 3 2 6 3" xfId="2783"/>
    <cellStyle name="Millares 3 4 2 3 2 7" xfId="2784"/>
    <cellStyle name="Millares 3 4 2 3 2 7 2" xfId="2785"/>
    <cellStyle name="Millares 3 4 2 3 2 8" xfId="2786"/>
    <cellStyle name="Millares 3 4 2 3 3" xfId="476"/>
    <cellStyle name="Millares 3 4 2 3 3 2" xfId="646"/>
    <cellStyle name="Millares 3 4 2 3 3 2 2" xfId="2787"/>
    <cellStyle name="Millares 3 4 2 3 3 2 2 2" xfId="2788"/>
    <cellStyle name="Millares 3 4 2 3 3 2 2 2 2" xfId="2789"/>
    <cellStyle name="Millares 3 4 2 3 3 2 2 3" xfId="2790"/>
    <cellStyle name="Millares 3 4 2 3 3 2 3" xfId="2791"/>
    <cellStyle name="Millares 3 4 2 3 3 2 3 2" xfId="2792"/>
    <cellStyle name="Millares 3 4 2 3 3 2 3 2 2" xfId="2793"/>
    <cellStyle name="Millares 3 4 2 3 3 2 3 3" xfId="2794"/>
    <cellStyle name="Millares 3 4 2 3 3 2 4" xfId="2795"/>
    <cellStyle name="Millares 3 4 2 3 3 2 4 2" xfId="2796"/>
    <cellStyle name="Millares 3 4 2 3 3 2 5" xfId="2797"/>
    <cellStyle name="Millares 3 4 2 3 3 3" xfId="2798"/>
    <cellStyle name="Millares 3 4 2 3 3 3 2" xfId="2799"/>
    <cellStyle name="Millares 3 4 2 3 3 3 2 2" xfId="2800"/>
    <cellStyle name="Millares 3 4 2 3 3 3 3" xfId="2801"/>
    <cellStyle name="Millares 3 4 2 3 3 4" xfId="2802"/>
    <cellStyle name="Millares 3 4 2 3 3 4 2" xfId="2803"/>
    <cellStyle name="Millares 3 4 2 3 3 4 2 2" xfId="2804"/>
    <cellStyle name="Millares 3 4 2 3 3 4 3" xfId="2805"/>
    <cellStyle name="Millares 3 4 2 3 3 5" xfId="2806"/>
    <cellStyle name="Millares 3 4 2 3 3 5 2" xfId="2807"/>
    <cellStyle name="Millares 3 4 2 3 3 5 2 2" xfId="2808"/>
    <cellStyle name="Millares 3 4 2 3 3 5 3" xfId="2809"/>
    <cellStyle name="Millares 3 4 2 3 3 6" xfId="2810"/>
    <cellStyle name="Millares 3 4 2 3 3 6 2" xfId="2811"/>
    <cellStyle name="Millares 3 4 2 3 3 7" xfId="2812"/>
    <cellStyle name="Millares 3 4 2 3 4" xfId="560"/>
    <cellStyle name="Millares 3 4 2 3 4 2" xfId="2813"/>
    <cellStyle name="Millares 3 4 2 3 4 2 2" xfId="2814"/>
    <cellStyle name="Millares 3 4 2 3 4 2 2 2" xfId="2815"/>
    <cellStyle name="Millares 3 4 2 3 4 2 3" xfId="2816"/>
    <cellStyle name="Millares 3 4 2 3 4 3" xfId="2817"/>
    <cellStyle name="Millares 3 4 2 3 4 3 2" xfId="2818"/>
    <cellStyle name="Millares 3 4 2 3 4 3 2 2" xfId="2819"/>
    <cellStyle name="Millares 3 4 2 3 4 3 3" xfId="2820"/>
    <cellStyle name="Millares 3 4 2 3 4 4" xfId="2821"/>
    <cellStyle name="Millares 3 4 2 3 4 4 2" xfId="2822"/>
    <cellStyle name="Millares 3 4 2 3 4 5" xfId="2823"/>
    <cellStyle name="Millares 3 4 2 3 5" xfId="2824"/>
    <cellStyle name="Millares 3 4 2 3 5 2" xfId="2825"/>
    <cellStyle name="Millares 3 4 2 3 5 2 2" xfId="2826"/>
    <cellStyle name="Millares 3 4 2 3 5 3" xfId="2827"/>
    <cellStyle name="Millares 3 4 2 3 6" xfId="2828"/>
    <cellStyle name="Millares 3 4 2 3 6 2" xfId="2829"/>
    <cellStyle name="Millares 3 4 2 3 6 2 2" xfId="2830"/>
    <cellStyle name="Millares 3 4 2 3 6 3" xfId="2831"/>
    <cellStyle name="Millares 3 4 2 3 7" xfId="2832"/>
    <cellStyle name="Millares 3 4 2 3 7 2" xfId="2833"/>
    <cellStyle name="Millares 3 4 2 3 7 2 2" xfId="2834"/>
    <cellStyle name="Millares 3 4 2 3 7 3" xfId="2835"/>
    <cellStyle name="Millares 3 4 2 3 8" xfId="2836"/>
    <cellStyle name="Millares 3 4 2 3 8 2" xfId="2837"/>
    <cellStyle name="Millares 3 4 2 3 9" xfId="2838"/>
    <cellStyle name="Millares 3 4 2 4" xfId="249"/>
    <cellStyle name="Millares 3 4 2 4 2" xfId="392"/>
    <cellStyle name="Millares 3 4 2 4 2 2" xfId="479"/>
    <cellStyle name="Millares 3 4 2 4 2 2 2" xfId="649"/>
    <cellStyle name="Millares 3 4 2 4 2 3" xfId="563"/>
    <cellStyle name="Millares 3 4 2 4 3" xfId="478"/>
    <cellStyle name="Millares 3 4 2 4 3 2" xfId="648"/>
    <cellStyle name="Millares 3 4 2 4 4" xfId="562"/>
    <cellStyle name="Millares 3 4 2 4 5" xfId="2839"/>
    <cellStyle name="Millares 3 4 2 4 5 2" xfId="3727"/>
    <cellStyle name="Millares 3 4 2 4 6" xfId="391"/>
    <cellStyle name="Millares 3 4 2 4 7" xfId="3580"/>
    <cellStyle name="Millares 3 4 2 5" xfId="187"/>
    <cellStyle name="Millares 3 4 2 5 2" xfId="868"/>
    <cellStyle name="Millares 3 4 2 5 2 2" xfId="3697"/>
    <cellStyle name="Millares 3 4 2 5 3" xfId="705"/>
    <cellStyle name="Millares 3 4 2 5 3 2" xfId="3653"/>
    <cellStyle name="Millares 3 4 2 5 4" xfId="3560"/>
    <cellStyle name="Millares 3 4 2 6" xfId="702"/>
    <cellStyle name="Millares 3 4 2 6 2" xfId="865"/>
    <cellStyle name="Millares 3 4 2 6 2 2" xfId="3694"/>
    <cellStyle name="Millares 3 4 2 6 3" xfId="3650"/>
    <cellStyle name="Millares 3 4 2 7" xfId="387"/>
    <cellStyle name="Millares 3 4 2 7 2" xfId="3613"/>
    <cellStyle name="Millares 3 4 3" xfId="209"/>
    <cellStyle name="Millares 3 4 3 2" xfId="393"/>
    <cellStyle name="Millares 3 4 3 2 2" xfId="481"/>
    <cellStyle name="Millares 3 4 3 2 2 2" xfId="651"/>
    <cellStyle name="Millares 3 4 3 2 2 2 2" xfId="2840"/>
    <cellStyle name="Millares 3 4 3 2 2 2 2 2" xfId="2841"/>
    <cellStyle name="Millares 3 4 3 2 2 2 2 2 2" xfId="2842"/>
    <cellStyle name="Millares 3 4 3 2 2 2 2 3" xfId="2843"/>
    <cellStyle name="Millares 3 4 3 2 2 2 3" xfId="2844"/>
    <cellStyle name="Millares 3 4 3 2 2 2 3 2" xfId="2845"/>
    <cellStyle name="Millares 3 4 3 2 2 2 3 2 2" xfId="2846"/>
    <cellStyle name="Millares 3 4 3 2 2 2 3 3" xfId="2847"/>
    <cellStyle name="Millares 3 4 3 2 2 2 4" xfId="2848"/>
    <cellStyle name="Millares 3 4 3 2 2 2 4 2" xfId="2849"/>
    <cellStyle name="Millares 3 4 3 2 2 2 5" xfId="2850"/>
    <cellStyle name="Millares 3 4 3 2 2 3" xfId="2851"/>
    <cellStyle name="Millares 3 4 3 2 2 3 2" xfId="2852"/>
    <cellStyle name="Millares 3 4 3 2 2 3 2 2" xfId="2853"/>
    <cellStyle name="Millares 3 4 3 2 2 3 3" xfId="2854"/>
    <cellStyle name="Millares 3 4 3 2 2 4" xfId="2855"/>
    <cellStyle name="Millares 3 4 3 2 2 4 2" xfId="2856"/>
    <cellStyle name="Millares 3 4 3 2 2 4 2 2" xfId="2857"/>
    <cellStyle name="Millares 3 4 3 2 2 4 3" xfId="2858"/>
    <cellStyle name="Millares 3 4 3 2 2 5" xfId="2859"/>
    <cellStyle name="Millares 3 4 3 2 2 5 2" xfId="2860"/>
    <cellStyle name="Millares 3 4 3 2 2 5 2 2" xfId="2861"/>
    <cellStyle name="Millares 3 4 3 2 2 5 3" xfId="2862"/>
    <cellStyle name="Millares 3 4 3 2 2 6" xfId="2863"/>
    <cellStyle name="Millares 3 4 3 2 2 6 2" xfId="2864"/>
    <cellStyle name="Millares 3 4 3 2 2 7" xfId="2865"/>
    <cellStyle name="Millares 3 4 3 2 3" xfId="565"/>
    <cellStyle name="Millares 3 4 3 2 3 2" xfId="2866"/>
    <cellStyle name="Millares 3 4 3 2 3 2 2" xfId="2867"/>
    <cellStyle name="Millares 3 4 3 2 3 2 2 2" xfId="2868"/>
    <cellStyle name="Millares 3 4 3 2 3 2 3" xfId="2869"/>
    <cellStyle name="Millares 3 4 3 2 3 3" xfId="2870"/>
    <cellStyle name="Millares 3 4 3 2 3 3 2" xfId="2871"/>
    <cellStyle name="Millares 3 4 3 2 3 3 2 2" xfId="2872"/>
    <cellStyle name="Millares 3 4 3 2 3 3 3" xfId="2873"/>
    <cellStyle name="Millares 3 4 3 2 3 4" xfId="2874"/>
    <cellStyle name="Millares 3 4 3 2 3 4 2" xfId="2875"/>
    <cellStyle name="Millares 3 4 3 2 3 5" xfId="2876"/>
    <cellStyle name="Millares 3 4 3 2 4" xfId="2877"/>
    <cellStyle name="Millares 3 4 3 2 4 2" xfId="2878"/>
    <cellStyle name="Millares 3 4 3 2 4 2 2" xfId="2879"/>
    <cellStyle name="Millares 3 4 3 2 4 3" xfId="2880"/>
    <cellStyle name="Millares 3 4 3 2 5" xfId="2881"/>
    <cellStyle name="Millares 3 4 3 2 5 2" xfId="2882"/>
    <cellStyle name="Millares 3 4 3 2 5 2 2" xfId="2883"/>
    <cellStyle name="Millares 3 4 3 2 5 3" xfId="2884"/>
    <cellStyle name="Millares 3 4 3 2 6" xfId="2885"/>
    <cellStyle name="Millares 3 4 3 2 6 2" xfId="2886"/>
    <cellStyle name="Millares 3 4 3 2 6 2 2" xfId="2887"/>
    <cellStyle name="Millares 3 4 3 2 6 3" xfId="2888"/>
    <cellStyle name="Millares 3 4 3 2 7" xfId="2889"/>
    <cellStyle name="Millares 3 4 3 2 7 2" xfId="2890"/>
    <cellStyle name="Millares 3 4 3 2 8" xfId="2891"/>
    <cellStyle name="Millares 3 4 3 3" xfId="480"/>
    <cellStyle name="Millares 3 4 3 3 2" xfId="650"/>
    <cellStyle name="Millares 3 4 3 3 2 2" xfId="2892"/>
    <cellStyle name="Millares 3 4 3 3 2 2 2" xfId="2893"/>
    <cellStyle name="Millares 3 4 3 3 2 2 2 2" xfId="2894"/>
    <cellStyle name="Millares 3 4 3 3 2 2 3" xfId="2895"/>
    <cellStyle name="Millares 3 4 3 3 2 3" xfId="2896"/>
    <cellStyle name="Millares 3 4 3 3 2 3 2" xfId="2897"/>
    <cellStyle name="Millares 3 4 3 3 2 3 2 2" xfId="2898"/>
    <cellStyle name="Millares 3 4 3 3 2 3 3" xfId="2899"/>
    <cellStyle name="Millares 3 4 3 3 2 4" xfId="2900"/>
    <cellStyle name="Millares 3 4 3 3 2 4 2" xfId="2901"/>
    <cellStyle name="Millares 3 4 3 3 2 5" xfId="2902"/>
    <cellStyle name="Millares 3 4 3 3 3" xfId="2903"/>
    <cellStyle name="Millares 3 4 3 3 3 2" xfId="2904"/>
    <cellStyle name="Millares 3 4 3 3 3 2 2" xfId="2905"/>
    <cellStyle name="Millares 3 4 3 3 3 3" xfId="2906"/>
    <cellStyle name="Millares 3 4 3 3 4" xfId="2907"/>
    <cellStyle name="Millares 3 4 3 3 4 2" xfId="2908"/>
    <cellStyle name="Millares 3 4 3 3 4 2 2" xfId="2909"/>
    <cellStyle name="Millares 3 4 3 3 4 3" xfId="2910"/>
    <cellStyle name="Millares 3 4 3 3 5" xfId="2911"/>
    <cellStyle name="Millares 3 4 3 3 5 2" xfId="2912"/>
    <cellStyle name="Millares 3 4 3 3 5 2 2" xfId="2913"/>
    <cellStyle name="Millares 3 4 3 3 5 3" xfId="2914"/>
    <cellStyle name="Millares 3 4 3 3 6" xfId="2915"/>
    <cellStyle name="Millares 3 4 3 3 6 2" xfId="2916"/>
    <cellStyle name="Millares 3 4 3 3 7" xfId="2917"/>
    <cellStyle name="Millares 3 4 3 4" xfId="564"/>
    <cellStyle name="Millares 3 4 3 4 2" xfId="2918"/>
    <cellStyle name="Millares 3 4 3 4 2 2" xfId="2919"/>
    <cellStyle name="Millares 3 4 3 4 2 2 2" xfId="2920"/>
    <cellStyle name="Millares 3 4 3 4 2 3" xfId="2921"/>
    <cellStyle name="Millares 3 4 3 4 3" xfId="2922"/>
    <cellStyle name="Millares 3 4 3 4 3 2" xfId="2923"/>
    <cellStyle name="Millares 3 4 3 4 3 2 2" xfId="2924"/>
    <cellStyle name="Millares 3 4 3 4 3 3" xfId="2925"/>
    <cellStyle name="Millares 3 4 3 4 4" xfId="2926"/>
    <cellStyle name="Millares 3 4 3 4 4 2" xfId="2927"/>
    <cellStyle name="Millares 3 4 3 4 5" xfId="2928"/>
    <cellStyle name="Millares 3 4 3 5" xfId="2929"/>
    <cellStyle name="Millares 3 4 3 5 2" xfId="2930"/>
    <cellStyle name="Millares 3 4 3 5 2 2" xfId="2931"/>
    <cellStyle name="Millares 3 4 3 5 3" xfId="2932"/>
    <cellStyle name="Millares 3 4 3 6" xfId="2933"/>
    <cellStyle name="Millares 3 4 3 6 2" xfId="2934"/>
    <cellStyle name="Millares 3 4 3 6 2 2" xfId="2935"/>
    <cellStyle name="Millares 3 4 3 6 3" xfId="2936"/>
    <cellStyle name="Millares 3 4 3 7" xfId="2937"/>
    <cellStyle name="Millares 3 4 3 7 2" xfId="2938"/>
    <cellStyle name="Millares 3 4 3 7 2 2" xfId="2939"/>
    <cellStyle name="Millares 3 4 3 7 3" xfId="2940"/>
    <cellStyle name="Millares 3 4 3 8" xfId="2941"/>
    <cellStyle name="Millares 3 4 3 8 2" xfId="2942"/>
    <cellStyle name="Millares 3 4 3 9" xfId="2943"/>
    <cellStyle name="Millares 3 4 4" xfId="248"/>
    <cellStyle name="Millares 3 4 4 2" xfId="395"/>
    <cellStyle name="Millares 3 4 4 2 2" xfId="483"/>
    <cellStyle name="Millares 3 4 4 2 2 2" xfId="653"/>
    <cellStyle name="Millares 3 4 4 2 3" xfId="567"/>
    <cellStyle name="Millares 3 4 4 3" xfId="482"/>
    <cellStyle name="Millares 3 4 4 3 2" xfId="652"/>
    <cellStyle name="Millares 3 4 4 4" xfId="566"/>
    <cellStyle name="Millares 3 4 4 5" xfId="2944"/>
    <cellStyle name="Millares 3 4 4 5 2" xfId="3728"/>
    <cellStyle name="Millares 3 4 4 6" xfId="394"/>
    <cellStyle name="Millares 3 4 4 7" xfId="3579"/>
    <cellStyle name="Millares 3 4 5" xfId="186"/>
    <cellStyle name="Millares 3 4 5 2" xfId="869"/>
    <cellStyle name="Millares 3 4 5 2 2" xfId="3698"/>
    <cellStyle name="Millares 3 4 5 3" xfId="706"/>
    <cellStyle name="Millares 3 4 5 3 2" xfId="3654"/>
    <cellStyle name="Millares 3 4 5 4" xfId="3559"/>
    <cellStyle name="Millares 3 4 6" xfId="701"/>
    <cellStyle name="Millares 3 4 6 2" xfId="864"/>
    <cellStyle name="Millares 3 4 6 2 2" xfId="3693"/>
    <cellStyle name="Millares 3 4 6 3" xfId="3649"/>
    <cellStyle name="Millares 3 4 7" xfId="386"/>
    <cellStyle name="Millares 3 4 7 2" xfId="3612"/>
    <cellStyle name="Millares 3 5" xfId="57"/>
    <cellStyle name="Millares 3 5 2" xfId="396"/>
    <cellStyle name="Millares 3 5 2 2" xfId="485"/>
    <cellStyle name="Millares 3 5 2 2 2" xfId="655"/>
    <cellStyle name="Millares 3 5 2 2 2 2" xfId="2945"/>
    <cellStyle name="Millares 3 5 2 2 2 2 2" xfId="2946"/>
    <cellStyle name="Millares 3 5 2 2 2 2 2 2" xfId="2947"/>
    <cellStyle name="Millares 3 5 2 2 2 2 3" xfId="2948"/>
    <cellStyle name="Millares 3 5 2 2 2 3" xfId="2949"/>
    <cellStyle name="Millares 3 5 2 2 2 3 2" xfId="2950"/>
    <cellStyle name="Millares 3 5 2 2 2 3 2 2" xfId="2951"/>
    <cellStyle name="Millares 3 5 2 2 2 3 3" xfId="2952"/>
    <cellStyle name="Millares 3 5 2 2 2 4" xfId="2953"/>
    <cellStyle name="Millares 3 5 2 2 2 4 2" xfId="2954"/>
    <cellStyle name="Millares 3 5 2 2 2 5" xfId="2955"/>
    <cellStyle name="Millares 3 5 2 2 3" xfId="2956"/>
    <cellStyle name="Millares 3 5 2 2 3 2" xfId="2957"/>
    <cellStyle name="Millares 3 5 2 2 3 2 2" xfId="2958"/>
    <cellStyle name="Millares 3 5 2 2 3 3" xfId="2959"/>
    <cellStyle name="Millares 3 5 2 2 4" xfId="2960"/>
    <cellStyle name="Millares 3 5 2 2 4 2" xfId="2961"/>
    <cellStyle name="Millares 3 5 2 2 4 2 2" xfId="2962"/>
    <cellStyle name="Millares 3 5 2 2 4 3" xfId="2963"/>
    <cellStyle name="Millares 3 5 2 2 5" xfId="2964"/>
    <cellStyle name="Millares 3 5 2 2 5 2" xfId="2965"/>
    <cellStyle name="Millares 3 5 2 2 5 2 2" xfId="2966"/>
    <cellStyle name="Millares 3 5 2 2 5 3" xfId="2967"/>
    <cellStyle name="Millares 3 5 2 2 6" xfId="2968"/>
    <cellStyle name="Millares 3 5 2 2 6 2" xfId="2969"/>
    <cellStyle name="Millares 3 5 2 2 7" xfId="2970"/>
    <cellStyle name="Millares 3 5 2 3" xfId="569"/>
    <cellStyle name="Millares 3 5 2 3 2" xfId="2971"/>
    <cellStyle name="Millares 3 5 2 3 2 2" xfId="2972"/>
    <cellStyle name="Millares 3 5 2 3 2 2 2" xfId="2973"/>
    <cellStyle name="Millares 3 5 2 3 2 3" xfId="2974"/>
    <cellStyle name="Millares 3 5 2 3 3" xfId="2975"/>
    <cellStyle name="Millares 3 5 2 3 3 2" xfId="2976"/>
    <cellStyle name="Millares 3 5 2 3 3 2 2" xfId="2977"/>
    <cellStyle name="Millares 3 5 2 3 3 3" xfId="2978"/>
    <cellStyle name="Millares 3 5 2 3 4" xfId="2979"/>
    <cellStyle name="Millares 3 5 2 3 4 2" xfId="2980"/>
    <cellStyle name="Millares 3 5 2 3 5" xfId="2981"/>
    <cellStyle name="Millares 3 5 2 4" xfId="2982"/>
    <cellStyle name="Millares 3 5 2 4 2" xfId="2983"/>
    <cellStyle name="Millares 3 5 2 4 2 2" xfId="2984"/>
    <cellStyle name="Millares 3 5 2 4 3" xfId="2985"/>
    <cellStyle name="Millares 3 5 2 5" xfId="2986"/>
    <cellStyle name="Millares 3 5 2 5 2" xfId="2987"/>
    <cellStyle name="Millares 3 5 2 5 2 2" xfId="2988"/>
    <cellStyle name="Millares 3 5 2 5 3" xfId="2989"/>
    <cellStyle name="Millares 3 5 2 6" xfId="2990"/>
    <cellStyle name="Millares 3 5 2 6 2" xfId="2991"/>
    <cellStyle name="Millares 3 5 2 6 2 2" xfId="2992"/>
    <cellStyle name="Millares 3 5 2 6 3" xfId="2993"/>
    <cellStyle name="Millares 3 5 2 7" xfId="2994"/>
    <cellStyle name="Millares 3 5 2 7 2" xfId="2995"/>
    <cellStyle name="Millares 3 5 2 8" xfId="2996"/>
    <cellStyle name="Millares 3 5 3" xfId="484"/>
    <cellStyle name="Millares 3 5 3 2" xfId="654"/>
    <cellStyle name="Millares 3 5 3 2 2" xfId="2997"/>
    <cellStyle name="Millares 3 5 3 2 2 2" xfId="2998"/>
    <cellStyle name="Millares 3 5 3 2 2 2 2" xfId="2999"/>
    <cellStyle name="Millares 3 5 3 2 2 3" xfId="3000"/>
    <cellStyle name="Millares 3 5 3 2 3" xfId="3001"/>
    <cellStyle name="Millares 3 5 3 2 3 2" xfId="3002"/>
    <cellStyle name="Millares 3 5 3 2 3 2 2" xfId="3003"/>
    <cellStyle name="Millares 3 5 3 2 3 3" xfId="3004"/>
    <cellStyle name="Millares 3 5 3 2 4" xfId="3005"/>
    <cellStyle name="Millares 3 5 3 2 4 2" xfId="3006"/>
    <cellStyle name="Millares 3 5 3 2 5" xfId="3007"/>
    <cellStyle name="Millares 3 5 3 3" xfId="3008"/>
    <cellStyle name="Millares 3 5 3 3 2" xfId="3009"/>
    <cellStyle name="Millares 3 5 3 3 2 2" xfId="3010"/>
    <cellStyle name="Millares 3 5 3 3 3" xfId="3011"/>
    <cellStyle name="Millares 3 5 3 4" xfId="3012"/>
    <cellStyle name="Millares 3 5 3 4 2" xfId="3013"/>
    <cellStyle name="Millares 3 5 3 4 2 2" xfId="3014"/>
    <cellStyle name="Millares 3 5 3 4 3" xfId="3015"/>
    <cellStyle name="Millares 3 5 3 5" xfId="3016"/>
    <cellStyle name="Millares 3 5 3 5 2" xfId="3017"/>
    <cellStyle name="Millares 3 5 3 5 2 2" xfId="3018"/>
    <cellStyle name="Millares 3 5 3 5 3" xfId="3019"/>
    <cellStyle name="Millares 3 5 3 6" xfId="3020"/>
    <cellStyle name="Millares 3 5 3 6 2" xfId="3021"/>
    <cellStyle name="Millares 3 5 3 7" xfId="3022"/>
    <cellStyle name="Millares 3 5 4" xfId="568"/>
    <cellStyle name="Millares 3 5 4 2" xfId="3023"/>
    <cellStyle name="Millares 3 5 4 2 2" xfId="3024"/>
    <cellStyle name="Millares 3 5 4 2 2 2" xfId="3025"/>
    <cellStyle name="Millares 3 5 4 2 3" xfId="3026"/>
    <cellStyle name="Millares 3 5 4 3" xfId="3027"/>
    <cellStyle name="Millares 3 5 4 3 2" xfId="3028"/>
    <cellStyle name="Millares 3 5 4 3 2 2" xfId="3029"/>
    <cellStyle name="Millares 3 5 4 3 3" xfId="3030"/>
    <cellStyle name="Millares 3 5 4 4" xfId="3031"/>
    <cellStyle name="Millares 3 5 4 4 2" xfId="3032"/>
    <cellStyle name="Millares 3 5 4 5" xfId="3033"/>
    <cellStyle name="Millares 3 5 5" xfId="3034"/>
    <cellStyle name="Millares 3 5 5 2" xfId="3035"/>
    <cellStyle name="Millares 3 5 5 2 2" xfId="3036"/>
    <cellStyle name="Millares 3 5 5 3" xfId="3037"/>
    <cellStyle name="Millares 3 5 6" xfId="3038"/>
    <cellStyle name="Millares 3 5 6 2" xfId="3039"/>
    <cellStyle name="Millares 3 5 6 2 2" xfId="3040"/>
    <cellStyle name="Millares 3 5 6 3" xfId="3041"/>
    <cellStyle name="Millares 3 5 7" xfId="3042"/>
    <cellStyle name="Millares 3 5 7 2" xfId="3043"/>
    <cellStyle name="Millares 3 5 7 2 2" xfId="3044"/>
    <cellStyle name="Millares 3 5 7 3" xfId="3045"/>
    <cellStyle name="Millares 3 5 8" xfId="3046"/>
    <cellStyle name="Millares 3 5 8 2" xfId="3047"/>
    <cellStyle name="Millares 3 5 9" xfId="3048"/>
    <cellStyle name="Millares 3 6" xfId="245"/>
    <cellStyle name="Millares 3 6 2" xfId="398"/>
    <cellStyle name="Millares 3 6 2 2" xfId="487"/>
    <cellStyle name="Millares 3 6 2 2 2" xfId="657"/>
    <cellStyle name="Millares 3 6 2 3" xfId="571"/>
    <cellStyle name="Millares 3 6 3" xfId="486"/>
    <cellStyle name="Millares 3 6 3 2" xfId="656"/>
    <cellStyle name="Millares 3 6 4" xfId="570"/>
    <cellStyle name="Millares 3 6 5" xfId="3049"/>
    <cellStyle name="Millares 3 6 5 2" xfId="3729"/>
    <cellStyle name="Millares 3 6 6" xfId="397"/>
    <cellStyle name="Millares 3 6 7" xfId="3576"/>
    <cellStyle name="Millares 3 7" xfId="183"/>
    <cellStyle name="Millares 3 7 2" xfId="870"/>
    <cellStyle name="Millares 3 7 2 2" xfId="3699"/>
    <cellStyle name="Millares 3 7 3" xfId="707"/>
    <cellStyle name="Millares 3 7 3 2" xfId="3655"/>
    <cellStyle name="Millares 3 7 4" xfId="3558"/>
    <cellStyle name="Millares 3 8" xfId="698"/>
    <cellStyle name="Millares 3 8 2" xfId="859"/>
    <cellStyle name="Millares 3 8 2 2" xfId="3688"/>
    <cellStyle name="Millares 3 8 3" xfId="3646"/>
    <cellStyle name="Millares 3 9" xfId="383"/>
    <cellStyle name="Millares 3 9 2" xfId="3611"/>
    <cellStyle name="Millares 3_Formato Ejecucion presupuestal 30042009" xfId="58"/>
    <cellStyle name="Millares 4" xfId="59"/>
    <cellStyle name="Millares 4 2" xfId="60"/>
    <cellStyle name="Millares 4 2 2" xfId="3508"/>
    <cellStyle name="Millares 4 2 2 2" xfId="3767"/>
    <cellStyle name="Millares 4 3" xfId="61"/>
    <cellStyle name="Millares 4 4" xfId="500"/>
    <cellStyle name="Millares 4 5" xfId="3488"/>
    <cellStyle name="Millares 4 5 2" xfId="3753"/>
    <cellStyle name="Millares 4 6" xfId="3538"/>
    <cellStyle name="Millares 4 6 2" xfId="3784"/>
    <cellStyle name="Millares 5" xfId="62"/>
    <cellStyle name="Millares 5 10" xfId="3050"/>
    <cellStyle name="Millares 5 10 2" xfId="3051"/>
    <cellStyle name="Millares 5 11" xfId="3052"/>
    <cellStyle name="Millares 5 12" xfId="3496"/>
    <cellStyle name="Millares 5 12 2" xfId="3757"/>
    <cellStyle name="Millares 5 2" xfId="63"/>
    <cellStyle name="Millares 5 2 10" xfId="3053"/>
    <cellStyle name="Millares 5 2 2" xfId="212"/>
    <cellStyle name="Millares 5 2 2 2" xfId="399"/>
    <cellStyle name="Millares 5 2 2 2 2" xfId="491"/>
    <cellStyle name="Millares 5 2 2 2 2 2" xfId="661"/>
    <cellStyle name="Millares 5 2 2 2 2 2 2" xfId="3054"/>
    <cellStyle name="Millares 5 2 2 2 2 2 2 2" xfId="3055"/>
    <cellStyle name="Millares 5 2 2 2 2 2 2 2 2" xfId="3056"/>
    <cellStyle name="Millares 5 2 2 2 2 2 2 3" xfId="3057"/>
    <cellStyle name="Millares 5 2 2 2 2 2 3" xfId="3058"/>
    <cellStyle name="Millares 5 2 2 2 2 2 3 2" xfId="3059"/>
    <cellStyle name="Millares 5 2 2 2 2 2 3 2 2" xfId="3060"/>
    <cellStyle name="Millares 5 2 2 2 2 2 3 3" xfId="3061"/>
    <cellStyle name="Millares 5 2 2 2 2 2 4" xfId="3062"/>
    <cellStyle name="Millares 5 2 2 2 2 2 4 2" xfId="3063"/>
    <cellStyle name="Millares 5 2 2 2 2 2 5" xfId="3064"/>
    <cellStyle name="Millares 5 2 2 2 2 3" xfId="3065"/>
    <cellStyle name="Millares 5 2 2 2 2 3 2" xfId="3066"/>
    <cellStyle name="Millares 5 2 2 2 2 3 2 2" xfId="3067"/>
    <cellStyle name="Millares 5 2 2 2 2 3 3" xfId="3068"/>
    <cellStyle name="Millares 5 2 2 2 2 4" xfId="3069"/>
    <cellStyle name="Millares 5 2 2 2 2 4 2" xfId="3070"/>
    <cellStyle name="Millares 5 2 2 2 2 4 2 2" xfId="3071"/>
    <cellStyle name="Millares 5 2 2 2 2 4 3" xfId="3072"/>
    <cellStyle name="Millares 5 2 2 2 2 5" xfId="3073"/>
    <cellStyle name="Millares 5 2 2 2 2 5 2" xfId="3074"/>
    <cellStyle name="Millares 5 2 2 2 2 5 2 2" xfId="3075"/>
    <cellStyle name="Millares 5 2 2 2 2 5 3" xfId="3076"/>
    <cellStyle name="Millares 5 2 2 2 2 6" xfId="3077"/>
    <cellStyle name="Millares 5 2 2 2 2 6 2" xfId="3078"/>
    <cellStyle name="Millares 5 2 2 2 2 7" xfId="3079"/>
    <cellStyle name="Millares 5 2 2 2 3" xfId="575"/>
    <cellStyle name="Millares 5 2 2 2 3 2" xfId="3080"/>
    <cellStyle name="Millares 5 2 2 2 3 2 2" xfId="3081"/>
    <cellStyle name="Millares 5 2 2 2 3 2 2 2" xfId="3082"/>
    <cellStyle name="Millares 5 2 2 2 3 2 3" xfId="3083"/>
    <cellStyle name="Millares 5 2 2 2 3 3" xfId="3084"/>
    <cellStyle name="Millares 5 2 2 2 3 3 2" xfId="3085"/>
    <cellStyle name="Millares 5 2 2 2 3 3 2 2" xfId="3086"/>
    <cellStyle name="Millares 5 2 2 2 3 3 3" xfId="3087"/>
    <cellStyle name="Millares 5 2 2 2 3 4" xfId="3088"/>
    <cellStyle name="Millares 5 2 2 2 3 4 2" xfId="3089"/>
    <cellStyle name="Millares 5 2 2 2 3 5" xfId="3090"/>
    <cellStyle name="Millares 5 2 2 2 4" xfId="3091"/>
    <cellStyle name="Millares 5 2 2 2 4 2" xfId="3092"/>
    <cellStyle name="Millares 5 2 2 2 4 2 2" xfId="3093"/>
    <cellStyle name="Millares 5 2 2 2 4 3" xfId="3094"/>
    <cellStyle name="Millares 5 2 2 2 5" xfId="3095"/>
    <cellStyle name="Millares 5 2 2 2 5 2" xfId="3096"/>
    <cellStyle name="Millares 5 2 2 2 5 2 2" xfId="3097"/>
    <cellStyle name="Millares 5 2 2 2 5 3" xfId="3098"/>
    <cellStyle name="Millares 5 2 2 2 6" xfId="3099"/>
    <cellStyle name="Millares 5 2 2 2 6 2" xfId="3100"/>
    <cellStyle name="Millares 5 2 2 2 6 2 2" xfId="3101"/>
    <cellStyle name="Millares 5 2 2 2 6 3" xfId="3102"/>
    <cellStyle name="Millares 5 2 2 2 7" xfId="3103"/>
    <cellStyle name="Millares 5 2 2 2 7 2" xfId="3104"/>
    <cellStyle name="Millares 5 2 2 2 8" xfId="3105"/>
    <cellStyle name="Millares 5 2 2 3" xfId="490"/>
    <cellStyle name="Millares 5 2 2 3 2" xfId="660"/>
    <cellStyle name="Millares 5 2 2 3 2 2" xfId="3106"/>
    <cellStyle name="Millares 5 2 2 3 2 2 2" xfId="3107"/>
    <cellStyle name="Millares 5 2 2 3 2 2 2 2" xfId="3108"/>
    <cellStyle name="Millares 5 2 2 3 2 2 3" xfId="3109"/>
    <cellStyle name="Millares 5 2 2 3 2 3" xfId="3110"/>
    <cellStyle name="Millares 5 2 2 3 2 3 2" xfId="3111"/>
    <cellStyle name="Millares 5 2 2 3 2 3 2 2" xfId="3112"/>
    <cellStyle name="Millares 5 2 2 3 2 3 3" xfId="3113"/>
    <cellStyle name="Millares 5 2 2 3 2 4" xfId="3114"/>
    <cellStyle name="Millares 5 2 2 3 2 4 2" xfId="3115"/>
    <cellStyle name="Millares 5 2 2 3 2 5" xfId="3116"/>
    <cellStyle name="Millares 5 2 2 3 3" xfId="3117"/>
    <cellStyle name="Millares 5 2 2 3 3 2" xfId="3118"/>
    <cellStyle name="Millares 5 2 2 3 3 2 2" xfId="3119"/>
    <cellStyle name="Millares 5 2 2 3 3 3" xfId="3120"/>
    <cellStyle name="Millares 5 2 2 3 4" xfId="3121"/>
    <cellStyle name="Millares 5 2 2 3 4 2" xfId="3122"/>
    <cellStyle name="Millares 5 2 2 3 4 2 2" xfId="3123"/>
    <cellStyle name="Millares 5 2 2 3 4 3" xfId="3124"/>
    <cellStyle name="Millares 5 2 2 3 5" xfId="3125"/>
    <cellStyle name="Millares 5 2 2 3 5 2" xfId="3126"/>
    <cellStyle name="Millares 5 2 2 3 5 2 2" xfId="3127"/>
    <cellStyle name="Millares 5 2 2 3 5 3" xfId="3128"/>
    <cellStyle name="Millares 5 2 2 3 6" xfId="3129"/>
    <cellStyle name="Millares 5 2 2 3 6 2" xfId="3130"/>
    <cellStyle name="Millares 5 2 2 3 7" xfId="3131"/>
    <cellStyle name="Millares 5 2 2 4" xfId="574"/>
    <cellStyle name="Millares 5 2 2 4 2" xfId="3132"/>
    <cellStyle name="Millares 5 2 2 4 2 2" xfId="3133"/>
    <cellStyle name="Millares 5 2 2 4 2 2 2" xfId="3134"/>
    <cellStyle name="Millares 5 2 2 4 2 3" xfId="3135"/>
    <cellStyle name="Millares 5 2 2 4 3" xfId="3136"/>
    <cellStyle name="Millares 5 2 2 4 3 2" xfId="3137"/>
    <cellStyle name="Millares 5 2 2 4 3 2 2" xfId="3138"/>
    <cellStyle name="Millares 5 2 2 4 3 3" xfId="3139"/>
    <cellStyle name="Millares 5 2 2 4 4" xfId="3140"/>
    <cellStyle name="Millares 5 2 2 4 4 2" xfId="3141"/>
    <cellStyle name="Millares 5 2 2 4 5" xfId="3142"/>
    <cellStyle name="Millares 5 2 2 5" xfId="3143"/>
    <cellStyle name="Millares 5 2 2 5 2" xfId="3144"/>
    <cellStyle name="Millares 5 2 2 5 2 2" xfId="3145"/>
    <cellStyle name="Millares 5 2 2 5 3" xfId="3146"/>
    <cellStyle name="Millares 5 2 2 6" xfId="3147"/>
    <cellStyle name="Millares 5 2 2 6 2" xfId="3148"/>
    <cellStyle name="Millares 5 2 2 6 2 2" xfId="3149"/>
    <cellStyle name="Millares 5 2 2 6 3" xfId="3150"/>
    <cellStyle name="Millares 5 2 2 7" xfId="3151"/>
    <cellStyle name="Millares 5 2 2 7 2" xfId="3152"/>
    <cellStyle name="Millares 5 2 2 7 2 2" xfId="3153"/>
    <cellStyle name="Millares 5 2 2 7 3" xfId="3154"/>
    <cellStyle name="Millares 5 2 2 8" xfId="3155"/>
    <cellStyle name="Millares 5 2 2 8 2" xfId="3156"/>
    <cellStyle name="Millares 5 2 2 9" xfId="3157"/>
    <cellStyle name="Millares 5 2 3" xfId="400"/>
    <cellStyle name="Millares 5 2 3 2" xfId="401"/>
    <cellStyle name="Millares 5 2 3 2 2" xfId="493"/>
    <cellStyle name="Millares 5 2 3 2 2 2" xfId="663"/>
    <cellStyle name="Millares 5 2 3 2 2 2 2" xfId="3158"/>
    <cellStyle name="Millares 5 2 3 2 2 2 2 2" xfId="3159"/>
    <cellStyle name="Millares 5 2 3 2 2 2 3" xfId="3160"/>
    <cellStyle name="Millares 5 2 3 2 2 3" xfId="3161"/>
    <cellStyle name="Millares 5 2 3 2 2 3 2" xfId="3162"/>
    <cellStyle name="Millares 5 2 3 2 2 3 2 2" xfId="3163"/>
    <cellStyle name="Millares 5 2 3 2 2 3 3" xfId="3164"/>
    <cellStyle name="Millares 5 2 3 2 2 4" xfId="3165"/>
    <cellStyle name="Millares 5 2 3 2 2 4 2" xfId="3166"/>
    <cellStyle name="Millares 5 2 3 2 2 5" xfId="3167"/>
    <cellStyle name="Millares 5 2 3 2 3" xfId="577"/>
    <cellStyle name="Millares 5 2 3 2 3 2" xfId="3168"/>
    <cellStyle name="Millares 5 2 3 2 3 2 2" xfId="3169"/>
    <cellStyle name="Millares 5 2 3 2 3 3" xfId="3170"/>
    <cellStyle name="Millares 5 2 3 2 4" xfId="3171"/>
    <cellStyle name="Millares 5 2 3 2 4 2" xfId="3172"/>
    <cellStyle name="Millares 5 2 3 2 4 2 2" xfId="3173"/>
    <cellStyle name="Millares 5 2 3 2 4 3" xfId="3174"/>
    <cellStyle name="Millares 5 2 3 2 5" xfId="3175"/>
    <cellStyle name="Millares 5 2 3 2 5 2" xfId="3176"/>
    <cellStyle name="Millares 5 2 3 2 5 2 2" xfId="3177"/>
    <cellStyle name="Millares 5 2 3 2 5 3" xfId="3178"/>
    <cellStyle name="Millares 5 2 3 2 6" xfId="3179"/>
    <cellStyle name="Millares 5 2 3 2 6 2" xfId="3180"/>
    <cellStyle name="Millares 5 2 3 2 7" xfId="3181"/>
    <cellStyle name="Millares 5 2 3 3" xfId="492"/>
    <cellStyle name="Millares 5 2 3 3 2" xfId="662"/>
    <cellStyle name="Millares 5 2 3 3 2 2" xfId="3182"/>
    <cellStyle name="Millares 5 2 3 3 2 2 2" xfId="3183"/>
    <cellStyle name="Millares 5 2 3 3 2 3" xfId="3184"/>
    <cellStyle name="Millares 5 2 3 3 3" xfId="3185"/>
    <cellStyle name="Millares 5 2 3 3 3 2" xfId="3186"/>
    <cellStyle name="Millares 5 2 3 3 3 2 2" xfId="3187"/>
    <cellStyle name="Millares 5 2 3 3 3 3" xfId="3188"/>
    <cellStyle name="Millares 5 2 3 3 4" xfId="3189"/>
    <cellStyle name="Millares 5 2 3 3 4 2" xfId="3190"/>
    <cellStyle name="Millares 5 2 3 3 5" xfId="3191"/>
    <cellStyle name="Millares 5 2 3 4" xfId="576"/>
    <cellStyle name="Millares 5 2 3 4 2" xfId="3192"/>
    <cellStyle name="Millares 5 2 3 4 2 2" xfId="3193"/>
    <cellStyle name="Millares 5 2 3 4 3" xfId="3194"/>
    <cellStyle name="Millares 5 2 3 5" xfId="3195"/>
    <cellStyle name="Millares 5 2 3 5 2" xfId="3196"/>
    <cellStyle name="Millares 5 2 3 5 2 2" xfId="3197"/>
    <cellStyle name="Millares 5 2 3 5 3" xfId="3198"/>
    <cellStyle name="Millares 5 2 3 6" xfId="3199"/>
    <cellStyle name="Millares 5 2 3 6 2" xfId="3200"/>
    <cellStyle name="Millares 5 2 3 6 2 2" xfId="3201"/>
    <cellStyle name="Millares 5 2 3 6 3" xfId="3202"/>
    <cellStyle name="Millares 5 2 3 7" xfId="3203"/>
    <cellStyle name="Millares 5 2 3 7 2" xfId="3204"/>
    <cellStyle name="Millares 5 2 3 8" xfId="3205"/>
    <cellStyle name="Millares 5 2 4" xfId="402"/>
    <cellStyle name="Millares 5 2 4 2" xfId="494"/>
    <cellStyle name="Millares 5 2 4 2 2" xfId="664"/>
    <cellStyle name="Millares 5 2 4 2 2 2" xfId="3206"/>
    <cellStyle name="Millares 5 2 4 2 2 2 2" xfId="3207"/>
    <cellStyle name="Millares 5 2 4 2 2 3" xfId="3208"/>
    <cellStyle name="Millares 5 2 4 2 3" xfId="3209"/>
    <cellStyle name="Millares 5 2 4 2 3 2" xfId="3210"/>
    <cellStyle name="Millares 5 2 4 2 3 2 2" xfId="3211"/>
    <cellStyle name="Millares 5 2 4 2 3 3" xfId="3212"/>
    <cellStyle name="Millares 5 2 4 2 4" xfId="3213"/>
    <cellStyle name="Millares 5 2 4 2 4 2" xfId="3214"/>
    <cellStyle name="Millares 5 2 4 2 5" xfId="3215"/>
    <cellStyle name="Millares 5 2 4 3" xfId="578"/>
    <cellStyle name="Millares 5 2 4 3 2" xfId="3216"/>
    <cellStyle name="Millares 5 2 4 3 2 2" xfId="3217"/>
    <cellStyle name="Millares 5 2 4 3 3" xfId="3218"/>
    <cellStyle name="Millares 5 2 4 4" xfId="3219"/>
    <cellStyle name="Millares 5 2 4 4 2" xfId="3220"/>
    <cellStyle name="Millares 5 2 4 4 2 2" xfId="3221"/>
    <cellStyle name="Millares 5 2 4 4 3" xfId="3222"/>
    <cellStyle name="Millares 5 2 4 5" xfId="3223"/>
    <cellStyle name="Millares 5 2 4 5 2" xfId="3224"/>
    <cellStyle name="Millares 5 2 4 5 2 2" xfId="3225"/>
    <cellStyle name="Millares 5 2 4 5 3" xfId="3226"/>
    <cellStyle name="Millares 5 2 4 6" xfId="3227"/>
    <cellStyle name="Millares 5 2 4 6 2" xfId="3228"/>
    <cellStyle name="Millares 5 2 4 7" xfId="3229"/>
    <cellStyle name="Millares 5 2 5" xfId="489"/>
    <cellStyle name="Millares 5 2 5 2" xfId="659"/>
    <cellStyle name="Millares 5 2 5 2 2" xfId="3230"/>
    <cellStyle name="Millares 5 2 5 2 2 2" xfId="3231"/>
    <cellStyle name="Millares 5 2 5 2 3" xfId="3232"/>
    <cellStyle name="Millares 5 2 5 3" xfId="3233"/>
    <cellStyle name="Millares 5 2 5 3 2" xfId="3234"/>
    <cellStyle name="Millares 5 2 5 3 2 2" xfId="3235"/>
    <cellStyle name="Millares 5 2 5 3 3" xfId="3236"/>
    <cellStyle name="Millares 5 2 5 4" xfId="3237"/>
    <cellStyle name="Millares 5 2 5 4 2" xfId="3238"/>
    <cellStyle name="Millares 5 2 5 5" xfId="3239"/>
    <cellStyle name="Millares 5 2 6" xfId="573"/>
    <cellStyle name="Millares 5 2 6 2" xfId="3240"/>
    <cellStyle name="Millares 5 2 6 2 2" xfId="3241"/>
    <cellStyle name="Millares 5 2 6 3" xfId="3242"/>
    <cellStyle name="Millares 5 2 7" xfId="3243"/>
    <cellStyle name="Millares 5 2 7 2" xfId="3244"/>
    <cellStyle name="Millares 5 2 7 2 2" xfId="3245"/>
    <cellStyle name="Millares 5 2 7 3" xfId="3246"/>
    <cellStyle name="Millares 5 2 8" xfId="3247"/>
    <cellStyle name="Millares 5 2 8 2" xfId="3248"/>
    <cellStyle name="Millares 5 2 8 2 2" xfId="3249"/>
    <cellStyle name="Millares 5 2 8 3" xfId="3250"/>
    <cellStyle name="Millares 5 2 9" xfId="3251"/>
    <cellStyle name="Millares 5 2 9 2" xfId="3252"/>
    <cellStyle name="Millares 5 3" xfId="64"/>
    <cellStyle name="Millares 5 3 2" xfId="403"/>
    <cellStyle name="Millares 5 3 2 2" xfId="496"/>
    <cellStyle name="Millares 5 3 2 2 2" xfId="666"/>
    <cellStyle name="Millares 5 3 2 2 2 2" xfId="3253"/>
    <cellStyle name="Millares 5 3 2 2 2 2 2" xfId="3254"/>
    <cellStyle name="Millares 5 3 2 2 2 2 2 2" xfId="3255"/>
    <cellStyle name="Millares 5 3 2 2 2 2 3" xfId="3256"/>
    <cellStyle name="Millares 5 3 2 2 2 3" xfId="3257"/>
    <cellStyle name="Millares 5 3 2 2 2 3 2" xfId="3258"/>
    <cellStyle name="Millares 5 3 2 2 2 3 2 2" xfId="3259"/>
    <cellStyle name="Millares 5 3 2 2 2 3 3" xfId="3260"/>
    <cellStyle name="Millares 5 3 2 2 2 4" xfId="3261"/>
    <cellStyle name="Millares 5 3 2 2 2 4 2" xfId="3262"/>
    <cellStyle name="Millares 5 3 2 2 2 5" xfId="3263"/>
    <cellStyle name="Millares 5 3 2 2 3" xfId="3264"/>
    <cellStyle name="Millares 5 3 2 2 3 2" xfId="3265"/>
    <cellStyle name="Millares 5 3 2 2 3 2 2" xfId="3266"/>
    <cellStyle name="Millares 5 3 2 2 3 3" xfId="3267"/>
    <cellStyle name="Millares 5 3 2 2 4" xfId="3268"/>
    <cellStyle name="Millares 5 3 2 2 4 2" xfId="3269"/>
    <cellStyle name="Millares 5 3 2 2 4 2 2" xfId="3270"/>
    <cellStyle name="Millares 5 3 2 2 4 3" xfId="3271"/>
    <cellStyle name="Millares 5 3 2 2 5" xfId="3272"/>
    <cellStyle name="Millares 5 3 2 2 5 2" xfId="3273"/>
    <cellStyle name="Millares 5 3 2 2 5 2 2" xfId="3274"/>
    <cellStyle name="Millares 5 3 2 2 5 3" xfId="3275"/>
    <cellStyle name="Millares 5 3 2 2 6" xfId="3276"/>
    <cellStyle name="Millares 5 3 2 2 6 2" xfId="3277"/>
    <cellStyle name="Millares 5 3 2 2 7" xfId="3278"/>
    <cellStyle name="Millares 5 3 2 3" xfId="580"/>
    <cellStyle name="Millares 5 3 2 3 2" xfId="3279"/>
    <cellStyle name="Millares 5 3 2 3 2 2" xfId="3280"/>
    <cellStyle name="Millares 5 3 2 3 2 2 2" xfId="3281"/>
    <cellStyle name="Millares 5 3 2 3 2 3" xfId="3282"/>
    <cellStyle name="Millares 5 3 2 3 3" xfId="3283"/>
    <cellStyle name="Millares 5 3 2 3 3 2" xfId="3284"/>
    <cellStyle name="Millares 5 3 2 3 3 2 2" xfId="3285"/>
    <cellStyle name="Millares 5 3 2 3 3 3" xfId="3286"/>
    <cellStyle name="Millares 5 3 2 3 4" xfId="3287"/>
    <cellStyle name="Millares 5 3 2 3 4 2" xfId="3288"/>
    <cellStyle name="Millares 5 3 2 3 5" xfId="3289"/>
    <cellStyle name="Millares 5 3 2 4" xfId="3290"/>
    <cellStyle name="Millares 5 3 2 4 2" xfId="3291"/>
    <cellStyle name="Millares 5 3 2 4 2 2" xfId="3292"/>
    <cellStyle name="Millares 5 3 2 4 3" xfId="3293"/>
    <cellStyle name="Millares 5 3 2 5" xfId="3294"/>
    <cellStyle name="Millares 5 3 2 5 2" xfId="3295"/>
    <cellStyle name="Millares 5 3 2 5 2 2" xfId="3296"/>
    <cellStyle name="Millares 5 3 2 5 3" xfId="3297"/>
    <cellStyle name="Millares 5 3 2 6" xfId="3298"/>
    <cellStyle name="Millares 5 3 2 6 2" xfId="3299"/>
    <cellStyle name="Millares 5 3 2 6 2 2" xfId="3300"/>
    <cellStyle name="Millares 5 3 2 6 3" xfId="3301"/>
    <cellStyle name="Millares 5 3 2 7" xfId="3302"/>
    <cellStyle name="Millares 5 3 2 7 2" xfId="3303"/>
    <cellStyle name="Millares 5 3 2 8" xfId="3304"/>
    <cellStyle name="Millares 5 3 3" xfId="495"/>
    <cellStyle name="Millares 5 3 3 2" xfId="665"/>
    <cellStyle name="Millares 5 3 3 2 2" xfId="3305"/>
    <cellStyle name="Millares 5 3 3 2 2 2" xfId="3306"/>
    <cellStyle name="Millares 5 3 3 2 2 2 2" xfId="3307"/>
    <cellStyle name="Millares 5 3 3 2 2 3" xfId="3308"/>
    <cellStyle name="Millares 5 3 3 2 3" xfId="3309"/>
    <cellStyle name="Millares 5 3 3 2 3 2" xfId="3310"/>
    <cellStyle name="Millares 5 3 3 2 3 2 2" xfId="3311"/>
    <cellStyle name="Millares 5 3 3 2 3 3" xfId="3312"/>
    <cellStyle name="Millares 5 3 3 2 4" xfId="3313"/>
    <cellStyle name="Millares 5 3 3 2 4 2" xfId="3314"/>
    <cellStyle name="Millares 5 3 3 2 5" xfId="3315"/>
    <cellStyle name="Millares 5 3 3 3" xfId="3316"/>
    <cellStyle name="Millares 5 3 3 3 2" xfId="3317"/>
    <cellStyle name="Millares 5 3 3 3 2 2" xfId="3318"/>
    <cellStyle name="Millares 5 3 3 3 3" xfId="3319"/>
    <cellStyle name="Millares 5 3 3 4" xfId="3320"/>
    <cellStyle name="Millares 5 3 3 4 2" xfId="3321"/>
    <cellStyle name="Millares 5 3 3 4 2 2" xfId="3322"/>
    <cellStyle name="Millares 5 3 3 4 3" xfId="3323"/>
    <cellStyle name="Millares 5 3 3 5" xfId="3324"/>
    <cellStyle name="Millares 5 3 3 5 2" xfId="3325"/>
    <cellStyle name="Millares 5 3 3 5 2 2" xfId="3326"/>
    <cellStyle name="Millares 5 3 3 5 3" xfId="3327"/>
    <cellStyle name="Millares 5 3 3 6" xfId="3328"/>
    <cellStyle name="Millares 5 3 3 6 2" xfId="3329"/>
    <cellStyle name="Millares 5 3 3 7" xfId="3330"/>
    <cellStyle name="Millares 5 3 4" xfId="579"/>
    <cellStyle name="Millares 5 3 4 2" xfId="3331"/>
    <cellStyle name="Millares 5 3 4 2 2" xfId="3332"/>
    <cellStyle name="Millares 5 3 4 2 2 2" xfId="3333"/>
    <cellStyle name="Millares 5 3 4 2 3" xfId="3334"/>
    <cellStyle name="Millares 5 3 4 3" xfId="3335"/>
    <cellStyle name="Millares 5 3 4 3 2" xfId="3336"/>
    <cellStyle name="Millares 5 3 4 3 2 2" xfId="3337"/>
    <cellStyle name="Millares 5 3 4 3 3" xfId="3338"/>
    <cellStyle name="Millares 5 3 4 4" xfId="3339"/>
    <cellStyle name="Millares 5 3 4 4 2" xfId="3340"/>
    <cellStyle name="Millares 5 3 4 5" xfId="3341"/>
    <cellStyle name="Millares 5 3 5" xfId="3342"/>
    <cellStyle name="Millares 5 3 5 2" xfId="3343"/>
    <cellStyle name="Millares 5 3 5 2 2" xfId="3344"/>
    <cellStyle name="Millares 5 3 5 3" xfId="3345"/>
    <cellStyle name="Millares 5 3 6" xfId="3346"/>
    <cellStyle name="Millares 5 3 6 2" xfId="3347"/>
    <cellStyle name="Millares 5 3 6 2 2" xfId="3348"/>
    <cellStyle name="Millares 5 3 6 3" xfId="3349"/>
    <cellStyle name="Millares 5 3 7" xfId="3350"/>
    <cellStyle name="Millares 5 3 7 2" xfId="3351"/>
    <cellStyle name="Millares 5 3 7 2 2" xfId="3352"/>
    <cellStyle name="Millares 5 3 7 3" xfId="3353"/>
    <cellStyle name="Millares 5 3 8" xfId="3354"/>
    <cellStyle name="Millares 5 3 8 2" xfId="3355"/>
    <cellStyle name="Millares 5 3 9" xfId="3356"/>
    <cellStyle name="Millares 5 4" xfId="404"/>
    <cellStyle name="Millares 5 4 2" xfId="405"/>
    <cellStyle name="Millares 5 4 2 2" xfId="498"/>
    <cellStyle name="Millares 5 4 2 2 2" xfId="668"/>
    <cellStyle name="Millares 5 4 2 2 2 2" xfId="3357"/>
    <cellStyle name="Millares 5 4 2 2 2 2 2" xfId="3358"/>
    <cellStyle name="Millares 5 4 2 2 2 3" xfId="3359"/>
    <cellStyle name="Millares 5 4 2 2 3" xfId="3360"/>
    <cellStyle name="Millares 5 4 2 2 3 2" xfId="3361"/>
    <cellStyle name="Millares 5 4 2 2 3 2 2" xfId="3362"/>
    <cellStyle name="Millares 5 4 2 2 3 3" xfId="3363"/>
    <cellStyle name="Millares 5 4 2 2 4" xfId="3364"/>
    <cellStyle name="Millares 5 4 2 2 4 2" xfId="3365"/>
    <cellStyle name="Millares 5 4 2 2 5" xfId="3366"/>
    <cellStyle name="Millares 5 4 2 3" xfId="582"/>
    <cellStyle name="Millares 5 4 2 3 2" xfId="3367"/>
    <cellStyle name="Millares 5 4 2 3 2 2" xfId="3368"/>
    <cellStyle name="Millares 5 4 2 3 3" xfId="3369"/>
    <cellStyle name="Millares 5 4 2 4" xfId="3370"/>
    <cellStyle name="Millares 5 4 2 4 2" xfId="3371"/>
    <cellStyle name="Millares 5 4 2 4 2 2" xfId="3372"/>
    <cellStyle name="Millares 5 4 2 4 3" xfId="3373"/>
    <cellStyle name="Millares 5 4 2 5" xfId="3374"/>
    <cellStyle name="Millares 5 4 2 5 2" xfId="3375"/>
    <cellStyle name="Millares 5 4 2 5 2 2" xfId="3376"/>
    <cellStyle name="Millares 5 4 2 5 3" xfId="3377"/>
    <cellStyle name="Millares 5 4 2 6" xfId="3378"/>
    <cellStyle name="Millares 5 4 2 6 2" xfId="3379"/>
    <cellStyle name="Millares 5 4 2 7" xfId="3380"/>
    <cellStyle name="Millares 5 4 3" xfId="497"/>
    <cellStyle name="Millares 5 4 3 2" xfId="667"/>
    <cellStyle name="Millares 5 4 3 2 2" xfId="3381"/>
    <cellStyle name="Millares 5 4 3 2 2 2" xfId="3382"/>
    <cellStyle name="Millares 5 4 3 2 3" xfId="3383"/>
    <cellStyle name="Millares 5 4 3 3" xfId="3384"/>
    <cellStyle name="Millares 5 4 3 3 2" xfId="3385"/>
    <cellStyle name="Millares 5 4 3 3 2 2" xfId="3386"/>
    <cellStyle name="Millares 5 4 3 3 3" xfId="3387"/>
    <cellStyle name="Millares 5 4 3 4" xfId="3388"/>
    <cellStyle name="Millares 5 4 3 4 2" xfId="3389"/>
    <cellStyle name="Millares 5 4 3 5" xfId="3390"/>
    <cellStyle name="Millares 5 4 4" xfId="581"/>
    <cellStyle name="Millares 5 4 4 2" xfId="3391"/>
    <cellStyle name="Millares 5 4 4 2 2" xfId="3392"/>
    <cellStyle name="Millares 5 4 4 3" xfId="3393"/>
    <cellStyle name="Millares 5 4 5" xfId="3394"/>
    <cellStyle name="Millares 5 4 5 2" xfId="3395"/>
    <cellStyle name="Millares 5 4 5 2 2" xfId="3396"/>
    <cellStyle name="Millares 5 4 5 3" xfId="3397"/>
    <cellStyle name="Millares 5 4 6" xfId="3398"/>
    <cellStyle name="Millares 5 4 6 2" xfId="3399"/>
    <cellStyle name="Millares 5 4 6 2 2" xfId="3400"/>
    <cellStyle name="Millares 5 4 6 3" xfId="3401"/>
    <cellStyle name="Millares 5 4 7" xfId="3402"/>
    <cellStyle name="Millares 5 4 7 2" xfId="3403"/>
    <cellStyle name="Millares 5 4 8" xfId="3404"/>
    <cellStyle name="Millares 5 5" xfId="406"/>
    <cellStyle name="Millares 5 5 2" xfId="499"/>
    <cellStyle name="Millares 5 5 2 2" xfId="669"/>
    <cellStyle name="Millares 5 5 2 2 2" xfId="3405"/>
    <cellStyle name="Millares 5 5 2 2 2 2" xfId="3406"/>
    <cellStyle name="Millares 5 5 2 2 3" xfId="3407"/>
    <cellStyle name="Millares 5 5 2 3" xfId="3408"/>
    <cellStyle name="Millares 5 5 2 3 2" xfId="3409"/>
    <cellStyle name="Millares 5 5 2 3 2 2" xfId="3410"/>
    <cellStyle name="Millares 5 5 2 3 3" xfId="3411"/>
    <cellStyle name="Millares 5 5 2 4" xfId="3412"/>
    <cellStyle name="Millares 5 5 2 4 2" xfId="3413"/>
    <cellStyle name="Millares 5 5 2 5" xfId="3414"/>
    <cellStyle name="Millares 5 5 3" xfId="583"/>
    <cellStyle name="Millares 5 5 3 2" xfId="3415"/>
    <cellStyle name="Millares 5 5 3 2 2" xfId="3416"/>
    <cellStyle name="Millares 5 5 3 3" xfId="3417"/>
    <cellStyle name="Millares 5 5 4" xfId="3418"/>
    <cellStyle name="Millares 5 5 4 2" xfId="3419"/>
    <cellStyle name="Millares 5 5 4 2 2" xfId="3420"/>
    <cellStyle name="Millares 5 5 4 3" xfId="3421"/>
    <cellStyle name="Millares 5 5 5" xfId="3422"/>
    <cellStyle name="Millares 5 5 5 2" xfId="3423"/>
    <cellStyle name="Millares 5 5 5 2 2" xfId="3424"/>
    <cellStyle name="Millares 5 5 5 3" xfId="3425"/>
    <cellStyle name="Millares 5 5 6" xfId="3426"/>
    <cellStyle name="Millares 5 5 6 2" xfId="3427"/>
    <cellStyle name="Millares 5 5 7" xfId="3428"/>
    <cellStyle name="Millares 5 6" xfId="488"/>
    <cellStyle name="Millares 5 6 2" xfId="658"/>
    <cellStyle name="Millares 5 6 2 2" xfId="3429"/>
    <cellStyle name="Millares 5 6 2 2 2" xfId="3430"/>
    <cellStyle name="Millares 5 6 2 3" xfId="3431"/>
    <cellStyle name="Millares 5 6 3" xfId="3432"/>
    <cellStyle name="Millares 5 6 3 2" xfId="3433"/>
    <cellStyle name="Millares 5 6 3 2 2" xfId="3434"/>
    <cellStyle name="Millares 5 6 3 3" xfId="3435"/>
    <cellStyle name="Millares 5 6 4" xfId="3436"/>
    <cellStyle name="Millares 5 6 4 2" xfId="3437"/>
    <cellStyle name="Millares 5 6 5" xfId="3438"/>
    <cellStyle name="Millares 5 7" xfId="572"/>
    <cellStyle name="Millares 5 7 2" xfId="3439"/>
    <cellStyle name="Millares 5 7 2 2" xfId="3440"/>
    <cellStyle name="Millares 5 7 3" xfId="3441"/>
    <cellStyle name="Millares 5 8" xfId="3442"/>
    <cellStyle name="Millares 5 8 2" xfId="3443"/>
    <cellStyle name="Millares 5 8 2 2" xfId="3444"/>
    <cellStyle name="Millares 5 8 3" xfId="3445"/>
    <cellStyle name="Millares 5 9" xfId="3446"/>
    <cellStyle name="Millares 5 9 2" xfId="3447"/>
    <cellStyle name="Millares 5 9 2 2" xfId="3448"/>
    <cellStyle name="Millares 5 9 3" xfId="3449"/>
    <cellStyle name="Millares 6" xfId="65"/>
    <cellStyle name="Millares 6 2" xfId="66"/>
    <cellStyle name="Millares 6 2 2" xfId="67"/>
    <cellStyle name="Millares 6 2 3" xfId="3498"/>
    <cellStyle name="Millares 6 2 3 2" xfId="3759"/>
    <cellStyle name="Millares 6 3" xfId="68"/>
    <cellStyle name="Millares 6 4" xfId="69"/>
    <cellStyle name="Millares 6 5" xfId="585"/>
    <cellStyle name="Millares 6 6" xfId="3481"/>
    <cellStyle name="Millares 6 6 2" xfId="3746"/>
    <cellStyle name="Millares 7" xfId="70"/>
    <cellStyle name="Millares 7 2" xfId="71"/>
    <cellStyle name="Millares 7 3" xfId="3497"/>
    <cellStyle name="Millares 7 3 2" xfId="3758"/>
    <cellStyle name="Millares 7 4" xfId="320"/>
    <cellStyle name="Millares 7 4 2" xfId="3475"/>
    <cellStyle name="Millares 7 4 2 2" xfId="3740"/>
    <cellStyle name="Millares 7 4 3" xfId="3593"/>
    <cellStyle name="Millares 8" xfId="72"/>
    <cellStyle name="Millares 8 2" xfId="73"/>
    <cellStyle name="Millares 8 2 2" xfId="3534"/>
    <cellStyle name="Millares 8 2 2 2" xfId="3781"/>
    <cellStyle name="Millares 8 3" xfId="3513"/>
    <cellStyle name="Millares 8 3 2" xfId="3772"/>
    <cellStyle name="Millares 8 4" xfId="3525"/>
    <cellStyle name="Millares 8 4 2" xfId="3778"/>
    <cellStyle name="Millares 9" xfId="74"/>
    <cellStyle name="Millares 9 2" xfId="75"/>
    <cellStyle name="Millares 9 3" xfId="3512"/>
    <cellStyle name="Millares 9 3 2" xfId="3771"/>
    <cellStyle name="Millares 9 4" xfId="322"/>
    <cellStyle name="Millares 9 4 2" xfId="3477"/>
    <cellStyle name="Millares 9 4 2 2" xfId="3742"/>
    <cellStyle name="Millares 9 4 3" xfId="3595"/>
    <cellStyle name="Moneda" xfId="3515" builtinId="4"/>
    <cellStyle name="Moneda [0] 2" xfId="232"/>
    <cellStyle name="Moneda [0] 2 2" xfId="292"/>
    <cellStyle name="Moneda [0] 2 2 2" xfId="3501"/>
    <cellStyle name="Moneda [0] 2 2 2 2" xfId="3762"/>
    <cellStyle name="Moneda [0] 2 2 3" xfId="3584"/>
    <cellStyle name="Moneda [0] 2 3" xfId="3484"/>
    <cellStyle name="Moneda [0] 2 3 2" xfId="3749"/>
    <cellStyle name="Moneda [0] 2 4" xfId="3564"/>
    <cellStyle name="Moneda [0] 3" xfId="76"/>
    <cellStyle name="Moneda [0] 3 2" xfId="3509"/>
    <cellStyle name="Moneda [0] 3 2 2" xfId="3768"/>
    <cellStyle name="Moneda [0] 3 3" xfId="3491"/>
    <cellStyle name="Moneda [0] 3 3 2" xfId="3754"/>
    <cellStyle name="Moneda [0] 4" xfId="778"/>
    <cellStyle name="Moneda [0] 4 2" xfId="932"/>
    <cellStyle name="Moneda [0] 4 2 2" xfId="3701"/>
    <cellStyle name="Moneda [0] 4 3" xfId="3657"/>
    <cellStyle name="Moneda [0] 5" xfId="326"/>
    <cellStyle name="Moneda [0] 5 2" xfId="3524"/>
    <cellStyle name="Moneda [0] 5 2 2" xfId="3777"/>
    <cellStyle name="Moneda [0] 6" xfId="3514"/>
    <cellStyle name="Moneda [0] 6 2" xfId="3773"/>
    <cellStyle name="Moneda 10" xfId="77"/>
    <cellStyle name="Moneda 10 2" xfId="213"/>
    <cellStyle name="Moneda 10 2 2" xfId="268"/>
    <cellStyle name="Moneda 10 2 2 2" xfId="710"/>
    <cellStyle name="Moneda 10 2 2 2 2" xfId="873"/>
    <cellStyle name="Moneda 10 2 2 3" xfId="821"/>
    <cellStyle name="Moneda 10 2 3" xfId="709"/>
    <cellStyle name="Moneda 10 2 3 2" xfId="872"/>
    <cellStyle name="Moneda 10 2 4" xfId="794"/>
    <cellStyle name="Moneda 10 3" xfId="251"/>
    <cellStyle name="Moneda 10 3 2" xfId="711"/>
    <cellStyle name="Moneda 10 3 2 2" xfId="874"/>
    <cellStyle name="Moneda 10 3 3" xfId="807"/>
    <cellStyle name="Moneda 10 4" xfId="708"/>
    <cellStyle name="Moneda 10 4 2" xfId="871"/>
    <cellStyle name="Moneda 10 5" xfId="763"/>
    <cellStyle name="Moneda 10 6" xfId="781"/>
    <cellStyle name="Moneda 11" xfId="78"/>
    <cellStyle name="Moneda 12" xfId="304"/>
    <cellStyle name="Moneda 12 2" xfId="712"/>
    <cellStyle name="Moneda 13" xfId="308"/>
    <cellStyle name="Moneda 13 2" xfId="79"/>
    <cellStyle name="Moneda 13 3" xfId="762"/>
    <cellStyle name="Moneda 14" xfId="317"/>
    <cellStyle name="Moneda 14 2" xfId="780"/>
    <cellStyle name="Moneda 15" xfId="307"/>
    <cellStyle name="Moneda 15 2" xfId="934"/>
    <cellStyle name="Moneda 16" xfId="943"/>
    <cellStyle name="Moneda 17" xfId="937"/>
    <cellStyle name="Moneda 18" xfId="3450"/>
    <cellStyle name="Moneda 19" xfId="3462"/>
    <cellStyle name="Moneda 2" xfId="80"/>
    <cellStyle name="Moneda 2 2" xfId="81"/>
    <cellStyle name="Moneda 2 2 2" xfId="82"/>
    <cellStyle name="Moneda 2 2 2 2" xfId="190"/>
    <cellStyle name="Moneda 2 2 2 2 2" xfId="3452"/>
    <cellStyle name="Moneda 2 2 2 3" xfId="408"/>
    <cellStyle name="Moneda 2 2 3" xfId="83"/>
    <cellStyle name="Moneda 2 2 3 2" xfId="3451"/>
    <cellStyle name="Moneda 2 2 4" xfId="189"/>
    <cellStyle name="Moneda 2 2 4 2" xfId="3465"/>
    <cellStyle name="Moneda 2 2 5" xfId="407"/>
    <cellStyle name="Moneda 2 2 6" xfId="3507"/>
    <cellStyle name="Moneda 2 3" xfId="84"/>
    <cellStyle name="Moneda 2 3 2" xfId="305"/>
    <cellStyle name="Moneda 2 3 2 2" xfId="85"/>
    <cellStyle name="Moneda 2 3 2 2 2" xfId="86"/>
    <cellStyle name="Moneda 2 3 2 2 2 2" xfId="412"/>
    <cellStyle name="Moneda 2 3 2 2 3" xfId="306"/>
    <cellStyle name="Moneda 2 3 3" xfId="87"/>
    <cellStyle name="Moneda 2 3 3 2" xfId="170"/>
    <cellStyle name="Moneda 2 4" xfId="3532"/>
    <cellStyle name="Moneda 20" xfId="3521"/>
    <cellStyle name="Moneda 21" xfId="3540"/>
    <cellStyle name="Moneda 22" xfId="3544"/>
    <cellStyle name="Moneda 3" xfId="88"/>
    <cellStyle name="Moneda 3 2" xfId="89"/>
    <cellStyle name="Moneda 3 2 2" xfId="3510"/>
    <cellStyle name="Moneda 3 2 2 2" xfId="3769"/>
    <cellStyle name="Moneda 3 3" xfId="90"/>
    <cellStyle name="Moneda 3 3 2" xfId="410"/>
    <cellStyle name="Moneda 3 4" xfId="91"/>
    <cellStyle name="Moneda 3 5" xfId="3493"/>
    <cellStyle name="Moneda 3 5 2" xfId="3755"/>
    <cellStyle name="Moneda 3 6" xfId="3537"/>
    <cellStyle name="Moneda 4" xfId="92"/>
    <cellStyle name="Moneda 4 2" xfId="3539"/>
    <cellStyle name="Moneda 5" xfId="93"/>
    <cellStyle name="Moneda 5 2" xfId="94"/>
    <cellStyle name="Moneda 6" xfId="95"/>
    <cellStyle name="Moneda 7" xfId="96"/>
    <cellStyle name="Moneda 8" xfId="97"/>
    <cellStyle name="Moneda 8 2" xfId="98"/>
    <cellStyle name="Moneda 9" xfId="99"/>
    <cellStyle name="Neutral 2" xfId="100"/>
    <cellStyle name="Neutral 2 2" xfId="3453"/>
    <cellStyle name="Neutral 3" xfId="764"/>
    <cellStyle name="Neutral 4" xfId="411"/>
    <cellStyle name="Normal" xfId="0" builtinId="0"/>
    <cellStyle name="Normal 10" xfId="101"/>
    <cellStyle name="Normal 10 2" xfId="102"/>
    <cellStyle name="Normal 10 2 2" xfId="670"/>
    <cellStyle name="Normal 10 2 2 2" xfId="715"/>
    <cellStyle name="Normal 10 2 2 2 2" xfId="877"/>
    <cellStyle name="Normal 10 2 2 3" xfId="822"/>
    <cellStyle name="Normal 10 2 3" xfId="714"/>
    <cellStyle name="Normal 10 2 3 2" xfId="876"/>
    <cellStyle name="Normal 10 2 4" xfId="795"/>
    <cellStyle name="Normal 10 3" xfId="584"/>
    <cellStyle name="Normal 10 3 2" xfId="716"/>
    <cellStyle name="Normal 10 3 2 2" xfId="878"/>
    <cellStyle name="Normal 10 3 3" xfId="808"/>
    <cellStyle name="Normal 10 4" xfId="713"/>
    <cellStyle name="Normal 10 4 2" xfId="875"/>
    <cellStyle name="Normal 10 5" xfId="765"/>
    <cellStyle name="Normal 10 5 2" xfId="922"/>
    <cellStyle name="Normal 10 6" xfId="782"/>
    <cellStyle name="Normal 11" xfId="103"/>
    <cellStyle name="Normal 11 2" xfId="279"/>
    <cellStyle name="Normal 11 2 2 2" xfId="193"/>
    <cellStyle name="Normal 11 2 2 2 2" xfId="223"/>
    <cellStyle name="Normal 11 2 2 2 2 2" xfId="282"/>
    <cellStyle name="Normal 11 2 2 2 3" xfId="262"/>
    <cellStyle name="Normal 11 3" xfId="946"/>
    <cellStyle name="Normal 12" xfId="104"/>
    <cellStyle name="Normal 13" xfId="105"/>
    <cellStyle name="Normal 13 2" xfId="947"/>
    <cellStyle name="Normal 13 2 2" xfId="3708"/>
    <cellStyle name="Normal 14" xfId="106"/>
    <cellStyle name="Normal 14 2" xfId="168"/>
    <cellStyle name="Normal 15" xfId="107"/>
    <cellStyle name="Normal 15 2" xfId="409"/>
    <cellStyle name="Normal 16" xfId="171"/>
    <cellStyle name="Normal 16 2" xfId="344"/>
    <cellStyle name="Normal 17" xfId="3519"/>
    <cellStyle name="Normal 2" xfId="108"/>
    <cellStyle name="Normal 2 2" xfId="109"/>
    <cellStyle name="Normal 2 2 2" xfId="110"/>
    <cellStyle name="Normal 2 2 2 2" xfId="3454"/>
    <cellStyle name="Normal 2 2 3" xfId="309"/>
    <cellStyle name="Normal 2 2 3 2" xfId="3533"/>
    <cellStyle name="Normal 2 2 3 3" xfId="3523"/>
    <cellStyle name="Normal 2 3" xfId="111"/>
    <cellStyle name="Normal 2 3 2" xfId="112"/>
    <cellStyle name="Normal 2 3 2 2" xfId="113"/>
    <cellStyle name="Normal 2 4" xfId="114"/>
    <cellStyle name="Normal 2 4 2" xfId="115"/>
    <cellStyle name="Normal 2 5" xfId="116"/>
    <cellStyle name="Normal 2 6" xfId="117"/>
    <cellStyle name="Normal 2 7" xfId="3530"/>
    <cellStyle name="Normal 2 8" xfId="118"/>
    <cellStyle name="Normal 2_Formato Ejecucion presupuestal 30042009" xfId="119"/>
    <cellStyle name="Normal 26" xfId="3517"/>
    <cellStyle name="Normal 3" xfId="120"/>
    <cellStyle name="Normal 3 10" xfId="121"/>
    <cellStyle name="Normal 3 10 2" xfId="3455"/>
    <cellStyle name="Normal 3 10 3" xfId="941"/>
    <cellStyle name="Normal 3 11" xfId="310"/>
    <cellStyle name="Normal 3 2" xfId="122"/>
    <cellStyle name="Normal 3 2 2" xfId="123"/>
    <cellStyle name="Normal 3 2 2 2" xfId="214"/>
    <cellStyle name="Normal 3 2 2 2 2" xfId="271"/>
    <cellStyle name="Normal 3 2 2 2 2 2" xfId="720"/>
    <cellStyle name="Normal 3 2 2 2 2 2 2" xfId="883"/>
    <cellStyle name="Normal 3 2 2 2 2 3" xfId="825"/>
    <cellStyle name="Normal 3 2 2 2 3" xfId="719"/>
    <cellStyle name="Normal 3 2 2 2 3 2" xfId="882"/>
    <cellStyle name="Normal 3 2 2 2 4" xfId="798"/>
    <cellStyle name="Normal 3 2 2 3" xfId="253"/>
    <cellStyle name="Normal 3 2 2 3 2" xfId="721"/>
    <cellStyle name="Normal 3 2 2 3 2 2" xfId="884"/>
    <cellStyle name="Normal 3 2 2 3 3" xfId="811"/>
    <cellStyle name="Normal 3 2 2 4" xfId="718"/>
    <cellStyle name="Normal 3 2 2 4 2" xfId="881"/>
    <cellStyle name="Normal 3 2 2 5" xfId="767"/>
    <cellStyle name="Normal 3 2 2 5 2" xfId="925"/>
    <cellStyle name="Normal 3 2 2 6" xfId="784"/>
    <cellStyle name="Normal 3 2 2 7" xfId="3494"/>
    <cellStyle name="Normal 3 2 3" xfId="124"/>
    <cellStyle name="Normal 3 2 3 2" xfId="270"/>
    <cellStyle name="Normal 3 2 3 2 2" xfId="723"/>
    <cellStyle name="Normal 3 2 3 2 2 2" xfId="886"/>
    <cellStyle name="Normal 3 2 3 2 3" xfId="824"/>
    <cellStyle name="Normal 3 2 3 3" xfId="722"/>
    <cellStyle name="Normal 3 2 3 3 2" xfId="885"/>
    <cellStyle name="Normal 3 2 3 4" xfId="797"/>
    <cellStyle name="Normal 3 2 4" xfId="252"/>
    <cellStyle name="Normal 3 2 4 2" xfId="724"/>
    <cellStyle name="Normal 3 2 4 2 2" xfId="887"/>
    <cellStyle name="Normal 3 2 4 3" xfId="810"/>
    <cellStyle name="Normal 3 2 5" xfId="311"/>
    <cellStyle name="Normal 3 2 5 2" xfId="880"/>
    <cellStyle name="Normal 3 2 5 3" xfId="717"/>
    <cellStyle name="Normal 3 2 6" xfId="766"/>
    <cellStyle name="Normal 3 2 6 2" xfId="924"/>
    <cellStyle name="Normal 3 2 7" xfId="783"/>
    <cellStyle name="Normal 3 2 8" xfId="940"/>
    <cellStyle name="Normal 3 3" xfId="125"/>
    <cellStyle name="Normal 3 3 11" xfId="3518"/>
    <cellStyle name="Normal 3 3 2" xfId="126"/>
    <cellStyle name="Normal 3 3 2 2" xfId="216"/>
    <cellStyle name="Normal 3 3 2 2 2" xfId="273"/>
    <cellStyle name="Normal 3 3 2 2 2 2" xfId="727"/>
    <cellStyle name="Normal 3 3 2 2 2 2 2" xfId="891"/>
    <cellStyle name="Normal 3 3 2 2 2 3" xfId="826"/>
    <cellStyle name="Normal 3 3 2 2 3" xfId="726"/>
    <cellStyle name="Normal 3 3 2 2 3 2" xfId="890"/>
    <cellStyle name="Normal 3 3 2 2 4" xfId="799"/>
    <cellStyle name="Normal 3 3 2 3" xfId="255"/>
    <cellStyle name="Normal 3 3 2 3 2" xfId="728"/>
    <cellStyle name="Normal 3 3 2 3 2 2" xfId="892"/>
    <cellStyle name="Normal 3 3 2 3 3" xfId="813"/>
    <cellStyle name="Normal 3 3 2 4" xfId="725"/>
    <cellStyle name="Normal 3 3 2 4 2" xfId="889"/>
    <cellStyle name="Normal 3 3 2 5" xfId="769"/>
    <cellStyle name="Normal 3 3 2 5 2" xfId="926"/>
    <cellStyle name="Normal 3 3 2 6" xfId="786"/>
    <cellStyle name="Normal 3 3 3" xfId="192"/>
    <cellStyle name="Normal 3 3 3 2" xfId="195"/>
    <cellStyle name="Normal 3 3 3 2 2" xfId="196"/>
    <cellStyle name="Normal 3 3 3 2 2 2" xfId="226"/>
    <cellStyle name="Normal 3 3 3 2 2 2 2" xfId="285"/>
    <cellStyle name="Normal 3 3 3 2 2 3" xfId="228"/>
    <cellStyle name="Normal 3 3 3 2 2 3 2" xfId="288"/>
    <cellStyle name="Normal 3 3 3 2 2 4" xfId="230"/>
    <cellStyle name="Normal 3 3 3 2 2 4 2" xfId="231"/>
    <cellStyle name="Normal 3 3 3 2 2 4 2 2" xfId="233"/>
    <cellStyle name="Normal 3 3 3 2 2 4 2 2 2" xfId="293"/>
    <cellStyle name="Normal 3 3 3 2 2 4 2 2 3" xfId="294"/>
    <cellStyle name="Normal 3 3 3 2 2 4 2 2 3 2" xfId="295"/>
    <cellStyle name="Normal 3 3 3 2 2 4 2 2 3 2 2" xfId="296"/>
    <cellStyle name="Normal 3 3 3 2 2 4 2 2 3 2 2 2" xfId="297"/>
    <cellStyle name="Normal 3 3 3 2 2 4 2 2 3 2 2 2 2" xfId="298"/>
    <cellStyle name="Normal 3 3 3 2 2 4 2 2 3 2 2 2 2 2 2 2" xfId="327"/>
    <cellStyle name="Normal 3 3 3 2 2 4 2 3" xfId="291"/>
    <cellStyle name="Normal 3 3 3 2 2 4 3" xfId="290"/>
    <cellStyle name="Normal 3 3 3 2 2 5" xfId="265"/>
    <cellStyle name="Normal 3 3 3 2 3" xfId="225"/>
    <cellStyle name="Normal 3 3 3 2 3 2" xfId="284"/>
    <cellStyle name="Normal 3 3 3 2 4" xfId="264"/>
    <cellStyle name="Normal 3 3 3 3" xfId="222"/>
    <cellStyle name="Normal 3 3 3 3 2" xfId="281"/>
    <cellStyle name="Normal 3 3 3 4" xfId="229"/>
    <cellStyle name="Normal 3 3 3 4 2" xfId="289"/>
    <cellStyle name="Normal 3 3 3 5" xfId="261"/>
    <cellStyle name="Normal 3 3 4" xfId="215"/>
    <cellStyle name="Normal 3 3 4 2" xfId="272"/>
    <cellStyle name="Normal 3 3 4 2 2" xfId="893"/>
    <cellStyle name="Normal 3 3 4 3" xfId="812"/>
    <cellStyle name="Normal 3 3 5" xfId="254"/>
    <cellStyle name="Normal 3 3 5 2" xfId="888"/>
    <cellStyle name="Normal 3 3 6" xfId="768"/>
    <cellStyle name="Normal 3 3 6 2" xfId="127"/>
    <cellStyle name="Normal 3 3 6 2 2" xfId="191"/>
    <cellStyle name="Normal 3 3 6 2 2 2" xfId="217"/>
    <cellStyle name="Normal 3 3 6 2 2 2 2" xfId="274"/>
    <cellStyle name="Normal 3 3 6 2 2 3" xfId="256"/>
    <cellStyle name="Normal 3 3 7" xfId="785"/>
    <cellStyle name="Normal 3 4" xfId="128"/>
    <cellStyle name="Normal 3 4 2" xfId="218"/>
    <cellStyle name="Normal 3 4 2 2" xfId="275"/>
    <cellStyle name="Normal 3 4 2 2 2" xfId="731"/>
    <cellStyle name="Normal 3 4 2 2 2 2" xfId="896"/>
    <cellStyle name="Normal 3 4 2 2 3" xfId="827"/>
    <cellStyle name="Normal 3 4 2 3" xfId="730"/>
    <cellStyle name="Normal 3 4 2 3 2" xfId="895"/>
    <cellStyle name="Normal 3 4 2 4" xfId="800"/>
    <cellStyle name="Normal 3 4 3" xfId="257"/>
    <cellStyle name="Normal 3 4 3 2" xfId="732"/>
    <cellStyle name="Normal 3 4 3 2 2" xfId="897"/>
    <cellStyle name="Normal 3 4 3 3" xfId="814"/>
    <cellStyle name="Normal 3 4 4" xfId="729"/>
    <cellStyle name="Normal 3 4 4 2" xfId="894"/>
    <cellStyle name="Normal 3 4 5" xfId="770"/>
    <cellStyle name="Normal 3 4 5 2" xfId="927"/>
    <cellStyle name="Normal 3 4 6" xfId="787"/>
    <cellStyle name="Normal 3 5" xfId="129"/>
    <cellStyle name="Normal 3 5 2" xfId="269"/>
    <cellStyle name="Normal 3 5 2 2" xfId="734"/>
    <cellStyle name="Normal 3 5 2 2 2" xfId="899"/>
    <cellStyle name="Normal 3 5 2 3" xfId="823"/>
    <cellStyle name="Normal 3 5 3" xfId="733"/>
    <cellStyle name="Normal 3 5 3 2" xfId="898"/>
    <cellStyle name="Normal 3 5 4" xfId="796"/>
    <cellStyle name="Normal 3 6" xfId="130"/>
    <cellStyle name="Normal 3 6 2" xfId="735"/>
    <cellStyle name="Normal 3 6 2 2" xfId="900"/>
    <cellStyle name="Normal 3 6 3" xfId="809"/>
    <cellStyle name="Normal 3 7" xfId="131"/>
    <cellStyle name="Normal 3 7 2" xfId="879"/>
    <cellStyle name="Normal 3 8" xfId="132"/>
    <cellStyle name="Normal 3 8 2" xfId="923"/>
    <cellStyle name="Normal 3 9" xfId="133"/>
    <cellStyle name="Normal 3_Formato de Seguimiento Sectorial (31-5-09) dmv" xfId="134"/>
    <cellStyle name="Normal 4" xfId="135"/>
    <cellStyle name="Normal 4 2" xfId="312"/>
    <cellStyle name="Normal 4 2 2" xfId="3503"/>
    <cellStyle name="Normal 5" xfId="136"/>
    <cellStyle name="Normal 5 2" xfId="137"/>
    <cellStyle name="Normal 5 2 2" xfId="219"/>
    <cellStyle name="Normal 5 2 2 2" xfId="277"/>
    <cellStyle name="Normal 5 2 2 2 2" xfId="739"/>
    <cellStyle name="Normal 5 2 2 2 2 2" xfId="904"/>
    <cellStyle name="Normal 5 2 2 2 3" xfId="829"/>
    <cellStyle name="Normal 5 2 2 3" xfId="738"/>
    <cellStyle name="Normal 5 2 2 3 2" xfId="903"/>
    <cellStyle name="Normal 5 2 2 4" xfId="802"/>
    <cellStyle name="Normal 5 2 3" xfId="259"/>
    <cellStyle name="Normal 5 2 3 2" xfId="740"/>
    <cellStyle name="Normal 5 2 3 2 2" xfId="905"/>
    <cellStyle name="Normal 5 2 3 3" xfId="816"/>
    <cellStyle name="Normal 5 2 4" xfId="737"/>
    <cellStyle name="Normal 5 2 4 2" xfId="902"/>
    <cellStyle name="Normal 5 2 5" xfId="772"/>
    <cellStyle name="Normal 5 2 5 2" xfId="929"/>
    <cellStyle name="Normal 5 2 6" xfId="789"/>
    <cellStyle name="Normal 5 2 7" xfId="3492"/>
    <cellStyle name="Normal 5 3" xfId="138"/>
    <cellStyle name="Normal 5 3 2" xfId="276"/>
    <cellStyle name="Normal 5 3 2 2" xfId="742"/>
    <cellStyle name="Normal 5 3 2 2 2" xfId="907"/>
    <cellStyle name="Normal 5 3 2 3" xfId="828"/>
    <cellStyle name="Normal 5 3 3" xfId="741"/>
    <cellStyle name="Normal 5 3 3 2" xfId="906"/>
    <cellStyle name="Normal 5 3 4" xfId="801"/>
    <cellStyle name="Normal 5 4" xfId="258"/>
    <cellStyle name="Normal 5 4 2" xfId="743"/>
    <cellStyle name="Normal 5 4 2 2" xfId="908"/>
    <cellStyle name="Normal 5 4 3" xfId="815"/>
    <cellStyle name="Normal 5 5" xfId="313"/>
    <cellStyle name="Normal 5 5 2" xfId="901"/>
    <cellStyle name="Normal 5 5 3" xfId="736"/>
    <cellStyle name="Normal 5 6" xfId="771"/>
    <cellStyle name="Normal 5 6 2" xfId="928"/>
    <cellStyle name="Normal 5 7" xfId="788"/>
    <cellStyle name="Normal 5 8" xfId="942"/>
    <cellStyle name="Normal 6" xfId="139"/>
    <cellStyle name="Normal 6 2" xfId="140"/>
    <cellStyle name="Normal 6 2 2" xfId="278"/>
    <cellStyle name="Normal 6 2 2 2" xfId="745"/>
    <cellStyle name="Normal 6 2 2 2 2" xfId="911"/>
    <cellStyle name="Normal 6 2 2 3" xfId="830"/>
    <cellStyle name="Normal 6 2 3" xfId="220"/>
    <cellStyle name="Normal 6 2 3 2" xfId="910"/>
    <cellStyle name="Normal 6 2 4" xfId="803"/>
    <cellStyle name="Normal 6 3" xfId="141"/>
    <cellStyle name="Normal 6 3 2" xfId="746"/>
    <cellStyle name="Normal 6 3 2 2" xfId="912"/>
    <cellStyle name="Normal 6 3 3" xfId="817"/>
    <cellStyle name="Normal 6 4" xfId="744"/>
    <cellStyle name="Normal 6 4 2" xfId="909"/>
    <cellStyle name="Normal 6 5" xfId="773"/>
    <cellStyle name="Normal 6 5 2" xfId="930"/>
    <cellStyle name="Normal 6 6" xfId="790"/>
    <cellStyle name="Normal 6 7" xfId="944"/>
    <cellStyle name="Normal 7" xfId="142"/>
    <cellStyle name="Normal 7 2" xfId="143"/>
    <cellStyle name="Normal 7 2 2" xfId="266"/>
    <cellStyle name="Normal 7 2 3" xfId="3456"/>
    <cellStyle name="Normal 7 3" xfId="197"/>
    <cellStyle name="Normal 8" xfId="144"/>
    <cellStyle name="Normal 8 2" xfId="145"/>
    <cellStyle name="Normal 8 2 2" xfId="286"/>
    <cellStyle name="Normal 8 2 3" xfId="3457"/>
    <cellStyle name="Normal 8 3" xfId="227"/>
    <cellStyle name="Normal 8 4" xfId="3490"/>
    <cellStyle name="Normal 9" xfId="146"/>
    <cellStyle name="Normal 9 2" xfId="147"/>
    <cellStyle name="Normal 9 2 2" xfId="287"/>
    <cellStyle name="Normal 9 2 2 2" xfId="749"/>
    <cellStyle name="Normal 9 2 2 2 2" xfId="915"/>
    <cellStyle name="Normal 9 2 2 3" xfId="831"/>
    <cellStyle name="Normal 9 2 2 4" xfId="671"/>
    <cellStyle name="Normal 9 2 3" xfId="748"/>
    <cellStyle name="Normal 9 2 3 2" xfId="914"/>
    <cellStyle name="Normal 9 2 4" xfId="804"/>
    <cellStyle name="Normal 9 3" xfId="586"/>
    <cellStyle name="Normal 9 3 2" xfId="750"/>
    <cellStyle name="Normal 9 3 2 2" xfId="916"/>
    <cellStyle name="Normal 9 3 3" xfId="818"/>
    <cellStyle name="Normal 9 4" xfId="747"/>
    <cellStyle name="Normal 9 4 2" xfId="913"/>
    <cellStyle name="Normal 9 5" xfId="774"/>
    <cellStyle name="Normal 9 5 2" xfId="931"/>
    <cellStyle name="Normal 9 6" xfId="791"/>
    <cellStyle name="Notas 2" xfId="148"/>
    <cellStyle name="Notas 2 2" xfId="3458"/>
    <cellStyle name="Porcentaje" xfId="149" builtinId="5"/>
    <cellStyle name="Porcentaje 2" xfId="150"/>
    <cellStyle name="Porcentaje 2 2" xfId="151"/>
    <cellStyle name="Porcentaje 2 2 2" xfId="3459"/>
    <cellStyle name="Porcentaje 3" xfId="152"/>
    <cellStyle name="Porcentaje 3 2" xfId="775"/>
    <cellStyle name="Porcentaje 4" xfId="169"/>
    <cellStyle name="Porcentaje 4 2" xfId="415"/>
    <cellStyle name="Porcentaje 5" xfId="361"/>
    <cellStyle name="Porcentual 2" xfId="153"/>
    <cellStyle name="Porcentual 2 2" xfId="154"/>
    <cellStyle name="Porcentual 2 2 2" xfId="316"/>
    <cellStyle name="Porcentual 3" xfId="155"/>
    <cellStyle name="Porcentual 3 2" xfId="156"/>
    <cellStyle name="Porcentual 3 2 2" xfId="157"/>
    <cellStyle name="Porcentual 3 3" xfId="158"/>
    <cellStyle name="Porcentual 4" xfId="159"/>
    <cellStyle name="Porcentual 4 2" xfId="160"/>
    <cellStyle name="Porcentual 4 2 2" xfId="161"/>
    <cellStyle name="Porcentual 4 3" xfId="162"/>
    <cellStyle name="Porcentual 5" xfId="163"/>
    <cellStyle name="Porcentual 6" xfId="164"/>
    <cellStyle name="Porcentual 6 2" xfId="221"/>
    <cellStyle name="Porcentual 6 2 2" xfId="280"/>
    <cellStyle name="Porcentual 6 2 2 2" xfId="753"/>
    <cellStyle name="Porcentual 6 2 2 2 2" xfId="919"/>
    <cellStyle name="Porcentual 6 2 2 3" xfId="832"/>
    <cellStyle name="Porcentual 6 2 3" xfId="752"/>
    <cellStyle name="Porcentual 6 2 3 2" xfId="918"/>
    <cellStyle name="Porcentual 6 2 4" xfId="805"/>
    <cellStyle name="Porcentual 6 3" xfId="260"/>
    <cellStyle name="Porcentual 6 3 2" xfId="754"/>
    <cellStyle name="Porcentual 6 3 2 2" xfId="920"/>
    <cellStyle name="Porcentual 6 3 3" xfId="819"/>
    <cellStyle name="Porcentual 6 4" xfId="751"/>
    <cellStyle name="Porcentual 6 4 2" xfId="917"/>
    <cellStyle name="Porcentual 6 5" xfId="776"/>
    <cellStyle name="Porcentual 6 6" xfId="792"/>
    <cellStyle name="Porcentual 7" xfId="165"/>
    <cellStyle name="Porcentual 7 2" xfId="3460"/>
    <cellStyle name="Porcentual 8" xfId="166"/>
    <cellStyle name="SAPHierarchyOddCell" xfId="3527"/>
    <cellStyle name="SAPMemberCell" xfId="3541"/>
    <cellStyle name="Total 2" xfId="167"/>
    <cellStyle name="Total 3" xfId="777"/>
    <cellStyle name="Total 4" xfId="4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ipes.gov.co/descargas/CUADRO%20DE%20MANDO%20INTEGRAL/CARMENCITA/HOJAS%20DE%20VIDA%20INDI/SGRS-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 de V"/>
      <sheetName val="Resultados"/>
      <sheetName val="Hoja2"/>
    </sheetNames>
    <sheetDataSet>
      <sheetData sheetId="0"/>
      <sheetData sheetId="1" refreshError="1"/>
      <sheetData sheetId="2">
        <row r="2">
          <cell r="A2" t="str">
            <v>OAJ-1.1</v>
          </cell>
          <cell r="B2" t="str">
            <v>OFICINA ASESORA PLANEACIÓN</v>
          </cell>
          <cell r="C2" t="str">
            <v>EFICACIA</v>
          </cell>
          <cell r="D2" t="str">
            <v>PROGRAMA</v>
          </cell>
          <cell r="E2" t="str">
            <v>CONTINUA</v>
          </cell>
          <cell r="F2" t="str">
            <v>SI</v>
          </cell>
          <cell r="G2" t="str">
            <v>Enero</v>
          </cell>
          <cell r="H2">
            <v>1</v>
          </cell>
          <cell r="I2">
            <v>2003</v>
          </cell>
          <cell r="J2" t="str">
            <v>FVP. G-038-2.006</v>
          </cell>
        </row>
        <row r="3">
          <cell r="A3" t="str">
            <v>OAJ-1.2</v>
          </cell>
          <cell r="B3" t="str">
            <v>OFICINA ASESORA DE JURIDICA</v>
          </cell>
          <cell r="C3" t="str">
            <v>EFICIENCIA</v>
          </cell>
          <cell r="D3" t="str">
            <v>PROYECTO</v>
          </cell>
          <cell r="E3" t="str">
            <v>MENSUAL</v>
          </cell>
          <cell r="F3" t="str">
            <v>NO</v>
          </cell>
          <cell r="G3" t="str">
            <v>Febrero</v>
          </cell>
          <cell r="H3">
            <v>2</v>
          </cell>
          <cell r="I3">
            <v>2006</v>
          </cell>
          <cell r="J3" t="str">
            <v>FVP. G-020-2.003</v>
          </cell>
        </row>
        <row r="4">
          <cell r="A4" t="str">
            <v>OAJ-1.3</v>
          </cell>
          <cell r="B4" t="str">
            <v>SUBDIRECCIÓN DE GESTION Y REDES SOCIALES</v>
          </cell>
          <cell r="C4" t="str">
            <v>EFECTIVIDAD</v>
          </cell>
          <cell r="D4" t="str">
            <v>ACCIONES</v>
          </cell>
          <cell r="E4" t="str">
            <v>TRIMESTRAL</v>
          </cell>
          <cell r="G4" t="str">
            <v>Marzo</v>
          </cell>
          <cell r="H4">
            <v>3</v>
          </cell>
          <cell r="I4">
            <v>2007</v>
          </cell>
          <cell r="J4" t="str">
            <v>IPES. DIR-XXX-2.007</v>
          </cell>
        </row>
        <row r="5">
          <cell r="A5" t="str">
            <v>OAJ-1.4</v>
          </cell>
          <cell r="B5" t="str">
            <v>SUBDIRECCIÓN ADMINISTRATIVA Y FINANCIERA</v>
          </cell>
          <cell r="C5" t="str">
            <v>ECONOMIA</v>
          </cell>
          <cell r="D5" t="str">
            <v>EFECTO</v>
          </cell>
          <cell r="E5" t="str">
            <v>SEMESTRAL</v>
          </cell>
          <cell r="G5" t="str">
            <v>Abril</v>
          </cell>
          <cell r="H5">
            <v>4</v>
          </cell>
          <cell r="I5">
            <v>2008</v>
          </cell>
        </row>
        <row r="6">
          <cell r="A6" t="str">
            <v>OAJ-1.5</v>
          </cell>
          <cell r="B6" t="str">
            <v>SUBDIRECCIÓN EMPRESARIAL COMERCIAL Y LOGISTICA</v>
          </cell>
          <cell r="C6" t="str">
            <v>IMPACTO</v>
          </cell>
          <cell r="D6" t="str">
            <v>TAREA  /ACTIVIDAD</v>
          </cell>
          <cell r="E6" t="str">
            <v>ANUAL</v>
          </cell>
          <cell r="G6" t="str">
            <v>Mayo</v>
          </cell>
          <cell r="H6">
            <v>5</v>
          </cell>
        </row>
        <row r="7">
          <cell r="A7" t="str">
            <v>OAP-1.1</v>
          </cell>
          <cell r="B7" t="str">
            <v>ASESORIA DE CONTROL INTERNO</v>
          </cell>
          <cell r="C7" t="str">
            <v>EFECTO</v>
          </cell>
          <cell r="D7" t="str">
            <v>PROCEDIMIENTO</v>
          </cell>
          <cell r="G7" t="str">
            <v>Junio</v>
          </cell>
          <cell r="H7">
            <v>6</v>
          </cell>
        </row>
        <row r="8">
          <cell r="A8" t="str">
            <v>OAP-1.2</v>
          </cell>
          <cell r="C8" t="str">
            <v>LIQUIDEZ</v>
          </cell>
          <cell r="G8" t="str">
            <v>Julio</v>
          </cell>
          <cell r="H8">
            <v>7</v>
          </cell>
        </row>
        <row r="9">
          <cell r="A9" t="str">
            <v>OAP-1.3</v>
          </cell>
          <cell r="G9" t="str">
            <v>Agosto</v>
          </cell>
          <cell r="H9">
            <v>8</v>
          </cell>
        </row>
        <row r="10">
          <cell r="A10" t="str">
            <v>OAP-1.4</v>
          </cell>
          <cell r="G10" t="str">
            <v>Septiembre</v>
          </cell>
          <cell r="H10">
            <v>9</v>
          </cell>
        </row>
        <row r="11">
          <cell r="A11" t="str">
            <v>DG -1.2.1</v>
          </cell>
          <cell r="G11" t="str">
            <v>Octubre</v>
          </cell>
          <cell r="H11">
            <v>10</v>
          </cell>
        </row>
        <row r="12">
          <cell r="A12" t="str">
            <v>DG -1.1.1</v>
          </cell>
          <cell r="G12" t="str">
            <v>Noviembre</v>
          </cell>
          <cell r="H12">
            <v>11</v>
          </cell>
        </row>
        <row r="13">
          <cell r="A13" t="str">
            <v>DG -1.1.2</v>
          </cell>
          <cell r="G13" t="str">
            <v>Diciembre</v>
          </cell>
          <cell r="H13">
            <v>12</v>
          </cell>
        </row>
        <row r="14">
          <cell r="A14" t="str">
            <v>SAFI -1.1</v>
          </cell>
          <cell r="H14">
            <v>13</v>
          </cell>
        </row>
        <row r="15">
          <cell r="A15" t="str">
            <v>SAFI -1.2</v>
          </cell>
          <cell r="H15">
            <v>14</v>
          </cell>
        </row>
        <row r="16">
          <cell r="A16" t="str">
            <v>SAFI -1.3</v>
          </cell>
          <cell r="H16">
            <v>15</v>
          </cell>
        </row>
        <row r="17">
          <cell r="A17" t="str">
            <v>SAFI -1.4</v>
          </cell>
          <cell r="H17">
            <v>16</v>
          </cell>
        </row>
        <row r="18">
          <cell r="A18" t="str">
            <v>SAFI -1.5</v>
          </cell>
          <cell r="H18">
            <v>17</v>
          </cell>
        </row>
        <row r="19">
          <cell r="A19" t="str">
            <v>SAFI -1.6</v>
          </cell>
          <cell r="H19">
            <v>18</v>
          </cell>
        </row>
        <row r="20">
          <cell r="A20" t="str">
            <v>SAFI -1.7</v>
          </cell>
          <cell r="H20">
            <v>19</v>
          </cell>
        </row>
        <row r="21">
          <cell r="A21" t="str">
            <v>SAFI -1.8</v>
          </cell>
          <cell r="H21">
            <v>20</v>
          </cell>
        </row>
        <row r="22">
          <cell r="A22" t="str">
            <v>SAFI -1.9</v>
          </cell>
          <cell r="H22">
            <v>21</v>
          </cell>
        </row>
        <row r="23">
          <cell r="A23" t="str">
            <v>SAFI -1.10</v>
          </cell>
          <cell r="H23">
            <v>22</v>
          </cell>
        </row>
        <row r="24">
          <cell r="A24" t="str">
            <v>SAFI -1.11</v>
          </cell>
          <cell r="H24">
            <v>23</v>
          </cell>
        </row>
        <row r="25">
          <cell r="A25" t="str">
            <v>SAFI -1.12</v>
          </cell>
          <cell r="H25">
            <v>24</v>
          </cell>
        </row>
        <row r="26">
          <cell r="A26" t="str">
            <v>SECL -1.1</v>
          </cell>
          <cell r="H26">
            <v>25</v>
          </cell>
        </row>
        <row r="27">
          <cell r="A27" t="str">
            <v>SECL -1.2</v>
          </cell>
          <cell r="H27">
            <v>26</v>
          </cell>
        </row>
        <row r="28">
          <cell r="A28" t="str">
            <v>SECL -1.3</v>
          </cell>
          <cell r="H28">
            <v>27</v>
          </cell>
        </row>
        <row r="29">
          <cell r="A29" t="str">
            <v>SECL -1.4</v>
          </cell>
          <cell r="H29">
            <v>28</v>
          </cell>
        </row>
        <row r="30">
          <cell r="A30" t="str">
            <v>SECL -1.5</v>
          </cell>
          <cell r="H30">
            <v>29</v>
          </cell>
        </row>
        <row r="31">
          <cell r="A31" t="str">
            <v>SECL -1.6</v>
          </cell>
          <cell r="H31">
            <v>30</v>
          </cell>
        </row>
        <row r="32">
          <cell r="A32" t="str">
            <v>SECL -1.7</v>
          </cell>
          <cell r="H32">
            <v>31</v>
          </cell>
        </row>
        <row r="33">
          <cell r="A33" t="str">
            <v>SECL -1.8</v>
          </cell>
        </row>
        <row r="34">
          <cell r="A34" t="str">
            <v>SECL -1.9</v>
          </cell>
        </row>
        <row r="35">
          <cell r="A35" t="str">
            <v>SECL -1.10</v>
          </cell>
        </row>
        <row r="36">
          <cell r="A36" t="str">
            <v>SGRS -1.1</v>
          </cell>
        </row>
        <row r="37">
          <cell r="A37" t="str">
            <v>SGRS -1.2</v>
          </cell>
        </row>
        <row r="38">
          <cell r="A38" t="str">
            <v>SGRS -1.3</v>
          </cell>
        </row>
        <row r="39">
          <cell r="A39" t="str">
            <v>SGRS -1.4</v>
          </cell>
        </row>
        <row r="40">
          <cell r="A40" t="str">
            <v>SGRS -1.5</v>
          </cell>
        </row>
        <row r="41">
          <cell r="A41" t="str">
            <v>SGRS -1.6</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customProperty" Target="../customProperty3.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C9"/>
  <sheetViews>
    <sheetView workbookViewId="0">
      <selection activeCell="B8" sqref="B8"/>
    </sheetView>
  </sheetViews>
  <sheetFormatPr baseColWidth="10" defaultRowHeight="15" x14ac:dyDescent="0.25"/>
  <sheetData>
    <row r="1" spans="1:3" x14ac:dyDescent="0.25">
      <c r="A1" s="67" t="s">
        <v>76</v>
      </c>
      <c r="B1" s="67" t="s">
        <v>74</v>
      </c>
      <c r="C1" s="67" t="s">
        <v>75</v>
      </c>
    </row>
    <row r="2" spans="1:3" x14ac:dyDescent="0.25">
      <c r="A2" s="68">
        <v>3075</v>
      </c>
      <c r="B2" s="40">
        <v>188629.99454699998</v>
      </c>
      <c r="C2" s="69" t="e">
        <f>+B2-#REF!</f>
        <v>#REF!</v>
      </c>
    </row>
    <row r="3" spans="1:3" x14ac:dyDescent="0.25">
      <c r="A3" s="68">
        <v>208</v>
      </c>
      <c r="B3" s="44">
        <v>46860.264536000002</v>
      </c>
      <c r="C3" s="69" t="e">
        <f>+B3-#REF!</f>
        <v>#REF!</v>
      </c>
    </row>
    <row r="4" spans="1:3" x14ac:dyDescent="0.25">
      <c r="A4" s="68">
        <v>3075</v>
      </c>
      <c r="B4" s="46">
        <v>16911.999999</v>
      </c>
      <c r="C4" s="69" t="e">
        <f>+B4-#REF!</f>
        <v>#REF!</v>
      </c>
    </row>
    <row r="5" spans="1:3" x14ac:dyDescent="0.25">
      <c r="A5" s="68">
        <v>471</v>
      </c>
      <c r="B5" s="58">
        <v>29280</v>
      </c>
      <c r="C5" s="69" t="e">
        <f>+B5-#REF!</f>
        <v>#REF!</v>
      </c>
    </row>
    <row r="6" spans="1:3" x14ac:dyDescent="0.25">
      <c r="A6" s="68">
        <v>943</v>
      </c>
      <c r="B6" s="40">
        <v>1910.88</v>
      </c>
      <c r="C6" s="69" t="e">
        <f>+B6-#REF!</f>
        <v>#REF!</v>
      </c>
    </row>
    <row r="7" spans="1:3" x14ac:dyDescent="0.25">
      <c r="A7" s="68">
        <v>404</v>
      </c>
      <c r="B7" s="40">
        <v>13556.24</v>
      </c>
      <c r="C7" s="69" t="e">
        <f>+B7-#REF!</f>
        <v>#REF!</v>
      </c>
    </row>
    <row r="8" spans="1:3" x14ac:dyDescent="0.25">
      <c r="A8" s="68">
        <v>1174</v>
      </c>
      <c r="B8" s="40">
        <v>7858.6167699999996</v>
      </c>
      <c r="C8" s="69" t="e">
        <f>+B8-#REF!</f>
        <v>#REF!</v>
      </c>
    </row>
    <row r="9" spans="1:3" x14ac:dyDescent="0.25">
      <c r="A9" s="67" t="s">
        <v>74</v>
      </c>
      <c r="B9" s="70">
        <f>SUM(B2:B8)</f>
        <v>305007.99585200002</v>
      </c>
      <c r="C9" s="69" t="e">
        <f>+B9-#REF!</f>
        <v>#REF!</v>
      </c>
    </row>
  </sheetData>
  <pageMargins left="0.7" right="0.7" top="0.75" bottom="0.75" header="0.3" footer="0.3"/>
  <pageSetup orientation="portrait"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T72"/>
  <sheetViews>
    <sheetView topLeftCell="I55" workbookViewId="0">
      <selection activeCell="R59" sqref="R59"/>
    </sheetView>
  </sheetViews>
  <sheetFormatPr baseColWidth="10" defaultColWidth="11.42578125" defaultRowHeight="15" x14ac:dyDescent="0.25"/>
  <cols>
    <col min="1" max="1" width="7.140625" style="7" customWidth="1"/>
    <col min="2" max="3" width="17.5703125" style="7" customWidth="1"/>
    <col min="4" max="4" width="23.42578125" style="7" customWidth="1"/>
    <col min="5" max="5" width="1" style="7" customWidth="1"/>
    <col min="6" max="6" width="15" style="7" customWidth="1"/>
    <col min="7" max="7" width="1" style="7" customWidth="1"/>
    <col min="8" max="8" width="15" style="7" customWidth="1"/>
    <col min="9" max="10" width="18.140625" style="7" customWidth="1"/>
    <col min="11" max="11" width="15" style="7" customWidth="1"/>
    <col min="12" max="12" width="18.140625" style="7" customWidth="1"/>
    <col min="13" max="13" width="15" style="7" customWidth="1"/>
    <col min="14" max="14" width="18.140625" style="7" customWidth="1"/>
    <col min="15" max="15" width="15" style="7" customWidth="1"/>
    <col min="16" max="16" width="18.140625" style="7" customWidth="1"/>
    <col min="17" max="17" width="15" style="7" customWidth="1"/>
    <col min="18" max="18" width="15.7109375" style="7" customWidth="1"/>
    <col min="19" max="16384" width="11.42578125" style="7"/>
  </cols>
  <sheetData>
    <row r="1" spans="1:18" x14ac:dyDescent="0.25">
      <c r="A1" s="6" t="s">
        <v>64</v>
      </c>
    </row>
    <row r="3" spans="1:18" s="3" customFormat="1" ht="12.75" x14ac:dyDescent="0.2">
      <c r="A3" s="193" t="s">
        <v>0</v>
      </c>
      <c r="B3" s="194"/>
      <c r="C3" s="194"/>
      <c r="D3" s="195"/>
      <c r="E3" s="1"/>
      <c r="F3" s="2"/>
      <c r="G3" s="2"/>
      <c r="H3" s="2"/>
      <c r="I3" s="2"/>
      <c r="J3" s="2"/>
      <c r="K3" s="2"/>
      <c r="M3" s="2"/>
      <c r="O3" s="2"/>
      <c r="Q3" s="2"/>
    </row>
    <row r="4" spans="1:18" s="3" customFormat="1" ht="12.75" x14ac:dyDescent="0.2">
      <c r="A4" s="193" t="s">
        <v>14</v>
      </c>
      <c r="B4" s="194"/>
      <c r="C4" s="194"/>
      <c r="D4" s="195"/>
      <c r="E4" s="1"/>
      <c r="F4" s="2"/>
      <c r="G4" s="2"/>
      <c r="H4" s="2"/>
      <c r="I4" s="2"/>
      <c r="J4" s="2"/>
      <c r="K4" s="2"/>
      <c r="M4" s="2"/>
      <c r="O4" s="2"/>
      <c r="Q4" s="2"/>
    </row>
    <row r="5" spans="1:18" s="3" customFormat="1" ht="12.75" x14ac:dyDescent="0.2">
      <c r="A5" s="193" t="s">
        <v>0</v>
      </c>
      <c r="B5" s="194"/>
      <c r="C5" s="194"/>
      <c r="D5" s="195"/>
      <c r="E5" s="1"/>
      <c r="F5" s="2"/>
      <c r="G5" s="2"/>
      <c r="H5" s="2"/>
      <c r="I5" s="2"/>
      <c r="J5" s="2"/>
      <c r="K5" s="2"/>
      <c r="M5" s="2"/>
      <c r="O5" s="2"/>
      <c r="Q5" s="2"/>
    </row>
    <row r="6" spans="1:18" s="3" customFormat="1" ht="12.75" x14ac:dyDescent="0.2">
      <c r="A6" s="193" t="s">
        <v>15</v>
      </c>
      <c r="B6" s="194"/>
      <c r="C6" s="194"/>
      <c r="D6" s="195"/>
      <c r="E6" s="1"/>
      <c r="F6" s="2"/>
      <c r="G6" s="2"/>
      <c r="H6" s="2"/>
      <c r="I6" s="2"/>
      <c r="J6" s="2"/>
      <c r="K6" s="2"/>
      <c r="M6" s="2"/>
      <c r="O6" s="2"/>
      <c r="Q6" s="2"/>
    </row>
    <row r="7" spans="1:18" s="3" customFormat="1" ht="12.75" x14ac:dyDescent="0.2">
      <c r="A7" s="4"/>
      <c r="B7" s="4"/>
      <c r="C7" s="4"/>
      <c r="D7" s="4"/>
      <c r="E7" s="2"/>
      <c r="F7" s="2"/>
      <c r="G7" s="2"/>
      <c r="H7" s="2"/>
      <c r="I7" s="2"/>
      <c r="J7" s="2"/>
      <c r="K7" s="2"/>
      <c r="M7" s="2"/>
      <c r="O7" s="2"/>
      <c r="Q7" s="2"/>
    </row>
    <row r="8" spans="1:18" s="5" customFormat="1" ht="45" customHeight="1" x14ac:dyDescent="0.2">
      <c r="A8" s="205" t="s">
        <v>84</v>
      </c>
      <c r="B8" s="206"/>
      <c r="C8" s="206"/>
      <c r="D8" s="206"/>
    </row>
    <row r="9" spans="1:18" s="3" customFormat="1" ht="12.75" x14ac:dyDescent="0.2">
      <c r="A9" s="4"/>
      <c r="B9" s="4"/>
      <c r="C9" s="4"/>
      <c r="D9" s="4"/>
      <c r="E9" s="2"/>
      <c r="F9" s="2"/>
      <c r="G9" s="2"/>
      <c r="H9" s="2"/>
      <c r="I9" s="2"/>
      <c r="J9" s="2"/>
      <c r="K9" s="2"/>
      <c r="M9" s="2"/>
      <c r="O9" s="2"/>
      <c r="Q9" s="2"/>
    </row>
    <row r="10" spans="1:18" ht="34.5" customHeight="1" x14ac:dyDescent="0.25">
      <c r="A10" s="31" t="s">
        <v>1</v>
      </c>
      <c r="B10" s="207" t="s">
        <v>16</v>
      </c>
      <c r="C10" s="207"/>
      <c r="D10" s="207"/>
    </row>
    <row r="11" spans="1:18" ht="12.75" customHeight="1" x14ac:dyDescent="0.25">
      <c r="A11" s="8" t="s">
        <v>17</v>
      </c>
      <c r="B11" s="6" t="s">
        <v>18</v>
      </c>
      <c r="C11" s="6"/>
    </row>
    <row r="12" spans="1:18" ht="10.5" customHeight="1" x14ac:dyDescent="0.25"/>
    <row r="13" spans="1:18" s="10" customFormat="1" ht="29.25" customHeight="1" x14ac:dyDescent="0.25">
      <c r="A13" s="202" t="s">
        <v>2</v>
      </c>
      <c r="B13" s="196" t="s">
        <v>3</v>
      </c>
      <c r="C13" s="196" t="s">
        <v>66</v>
      </c>
      <c r="D13" s="199" t="s">
        <v>19</v>
      </c>
      <c r="E13" s="9"/>
      <c r="F13" s="61">
        <v>2016</v>
      </c>
      <c r="G13" s="9"/>
      <c r="H13" s="213">
        <v>2017</v>
      </c>
      <c r="I13" s="214"/>
      <c r="J13" s="215"/>
      <c r="K13" s="213">
        <v>2018</v>
      </c>
      <c r="L13" s="215"/>
      <c r="M13" s="213">
        <v>2019</v>
      </c>
      <c r="N13" s="215"/>
      <c r="O13" s="213">
        <v>2020</v>
      </c>
      <c r="P13" s="214"/>
      <c r="Q13" s="214" t="s">
        <v>77</v>
      </c>
      <c r="R13" s="214"/>
    </row>
    <row r="14" spans="1:18" s="10" customFormat="1" ht="15" customHeight="1" x14ac:dyDescent="0.25">
      <c r="A14" s="203"/>
      <c r="B14" s="197"/>
      <c r="C14" s="197"/>
      <c r="D14" s="200"/>
      <c r="E14" s="9"/>
      <c r="F14" s="191" t="s">
        <v>8</v>
      </c>
      <c r="G14" s="9"/>
      <c r="H14" s="191" t="s">
        <v>8</v>
      </c>
      <c r="I14" s="191" t="s">
        <v>83</v>
      </c>
      <c r="J14" s="191" t="s">
        <v>79</v>
      </c>
      <c r="K14" s="191" t="s">
        <v>8</v>
      </c>
      <c r="L14" s="191" t="s">
        <v>78</v>
      </c>
      <c r="M14" s="191" t="s">
        <v>8</v>
      </c>
      <c r="N14" s="191" t="s">
        <v>78</v>
      </c>
      <c r="O14" s="229" t="s">
        <v>8</v>
      </c>
      <c r="P14" s="191" t="s">
        <v>78</v>
      </c>
      <c r="Q14" s="229" t="s">
        <v>8</v>
      </c>
      <c r="R14" s="191" t="s">
        <v>78</v>
      </c>
    </row>
    <row r="15" spans="1:18" s="10" customFormat="1" ht="47.25" customHeight="1" x14ac:dyDescent="0.25">
      <c r="A15" s="204"/>
      <c r="B15" s="198"/>
      <c r="C15" s="198"/>
      <c r="D15" s="201"/>
      <c r="E15" s="11"/>
      <c r="F15" s="191"/>
      <c r="G15" s="11"/>
      <c r="H15" s="191"/>
      <c r="I15" s="191"/>
      <c r="J15" s="191"/>
      <c r="K15" s="191"/>
      <c r="L15" s="191"/>
      <c r="M15" s="191"/>
      <c r="N15" s="191"/>
      <c r="O15" s="230"/>
      <c r="P15" s="191"/>
      <c r="Q15" s="230"/>
      <c r="R15" s="191"/>
    </row>
    <row r="16" spans="1:18" ht="60" customHeight="1" x14ac:dyDescent="0.25">
      <c r="A16" s="211" t="s">
        <v>11</v>
      </c>
      <c r="B16" s="208" t="s">
        <v>12</v>
      </c>
      <c r="C16" s="208" t="s">
        <v>67</v>
      </c>
      <c r="D16" s="12" t="s">
        <v>20</v>
      </c>
      <c r="E16" s="13"/>
      <c r="F16" s="55">
        <v>7683.488582</v>
      </c>
      <c r="G16" s="15"/>
      <c r="H16" s="27">
        <v>18626.624800000001</v>
      </c>
      <c r="I16" s="27">
        <v>6806.2292539999999</v>
      </c>
      <c r="J16" s="27">
        <f>+H16-I16</f>
        <v>11820.395546000002</v>
      </c>
      <c r="K16" s="27">
        <v>13809.148606000001</v>
      </c>
      <c r="L16" s="27">
        <f>+($J$16/3)+K16</f>
        <v>17749.280454666667</v>
      </c>
      <c r="M16" s="27">
        <v>14361.51455</v>
      </c>
      <c r="N16" s="27">
        <f>+($J$16/3)+M16</f>
        <v>18301.646398666668</v>
      </c>
      <c r="O16" s="27">
        <v>10478.567816000001</v>
      </c>
      <c r="P16" s="27">
        <f>+($J$16/3)+O16</f>
        <v>14418.699664666668</v>
      </c>
      <c r="Q16" s="27">
        <f>+F16+H16+K16+M16+O16</f>
        <v>64959.344354000008</v>
      </c>
      <c r="R16" s="27">
        <f>+F16+I16+L16+N16+P16</f>
        <v>64959.344354000001</v>
      </c>
    </row>
    <row r="17" spans="1:20" ht="60" customHeight="1" x14ac:dyDescent="0.25">
      <c r="A17" s="212"/>
      <c r="B17" s="209"/>
      <c r="C17" s="209"/>
      <c r="D17" s="12" t="s">
        <v>80</v>
      </c>
      <c r="E17" s="13"/>
      <c r="F17" s="27">
        <v>20566.505743999998</v>
      </c>
      <c r="G17" s="15"/>
      <c r="H17" s="27">
        <v>25383.216</v>
      </c>
      <c r="I17" s="27">
        <v>14746.165000000001</v>
      </c>
      <c r="J17" s="27">
        <f>+H17-I17</f>
        <v>10637.050999999999</v>
      </c>
      <c r="K17" s="27">
        <v>13199.27232</v>
      </c>
      <c r="L17" s="27">
        <f>+($J$17/3)+K17</f>
        <v>16744.955986666668</v>
      </c>
      <c r="M17" s="27">
        <v>11766.208468000001</v>
      </c>
      <c r="N17" s="27">
        <f>+($J$17/3)+M17</f>
        <v>15311.892134666667</v>
      </c>
      <c r="O17" s="27">
        <v>1509.21234</v>
      </c>
      <c r="P17" s="27">
        <f>+($J$17/3)+O17</f>
        <v>5054.8960066666659</v>
      </c>
      <c r="Q17" s="27">
        <f>+F17+H17+K17+M17+O17</f>
        <v>72424.414871999994</v>
      </c>
      <c r="R17" s="27">
        <f>+F17+I17+L17+N17+P17</f>
        <v>72424.414871999994</v>
      </c>
    </row>
    <row r="18" spans="1:20" ht="60" customHeight="1" x14ac:dyDescent="0.25">
      <c r="A18" s="212"/>
      <c r="B18" s="209"/>
      <c r="C18" s="209"/>
      <c r="D18" s="12" t="s">
        <v>81</v>
      </c>
      <c r="E18" s="13"/>
      <c r="F18" s="27">
        <v>56.1</v>
      </c>
      <c r="G18" s="15"/>
      <c r="H18" s="27">
        <v>224.90719999999999</v>
      </c>
      <c r="I18" s="27">
        <v>82.181821999999997</v>
      </c>
      <c r="J18" s="27">
        <f>+H18-I18</f>
        <v>142.72537799999998</v>
      </c>
      <c r="K18" s="27">
        <v>233.90348800000001</v>
      </c>
      <c r="L18" s="27">
        <f>+($J$18/3)+K18</f>
        <v>281.47861399999999</v>
      </c>
      <c r="M18" s="27">
        <v>243.25962799999999</v>
      </c>
      <c r="N18" s="27">
        <f>+($J$18/3)+M18</f>
        <v>290.83475399999998</v>
      </c>
      <c r="O18" s="27">
        <v>252.99001200000001</v>
      </c>
      <c r="P18" s="27">
        <f>+($J$18/3)+O18</f>
        <v>300.56513799999999</v>
      </c>
      <c r="Q18" s="27">
        <f>+F18+H18+K18+M18+O18</f>
        <v>1011.160328</v>
      </c>
      <c r="R18" s="27">
        <f>+F18+I18+L18+N18+P18</f>
        <v>1011.1603279999999</v>
      </c>
    </row>
    <row r="19" spans="1:20" ht="60" customHeight="1" x14ac:dyDescent="0.25">
      <c r="A19" s="212"/>
      <c r="B19" s="209"/>
      <c r="C19" s="209"/>
      <c r="D19" s="12" t="s">
        <v>85</v>
      </c>
      <c r="E19" s="13"/>
      <c r="F19" s="27">
        <v>4832.2331139999997</v>
      </c>
      <c r="G19" s="15"/>
      <c r="H19" s="27">
        <v>15542.712</v>
      </c>
      <c r="I19" s="27">
        <v>8510.6509999999998</v>
      </c>
      <c r="J19" s="27">
        <f>+H19-I19</f>
        <v>7032.0609999999997</v>
      </c>
      <c r="K19" s="27">
        <v>10548.496424999999</v>
      </c>
      <c r="L19" s="27">
        <f>+($J$19/3)+K19</f>
        <v>12892.516758333333</v>
      </c>
      <c r="M19" s="27">
        <v>4354.0999080000001</v>
      </c>
      <c r="N19" s="27">
        <f>+($J$19/3)+M19</f>
        <v>6698.120241333334</v>
      </c>
      <c r="O19" s="27">
        <v>1866.0428179999999</v>
      </c>
      <c r="P19" s="27">
        <f>+($J$19/3)+O19</f>
        <v>4210.0631513333337</v>
      </c>
      <c r="Q19" s="27">
        <f>+F19+H19+K19+M19+O19</f>
        <v>37143.584264999998</v>
      </c>
      <c r="R19" s="27">
        <f>+F19+I19+L19+N19+P19</f>
        <v>37143.584264999998</v>
      </c>
    </row>
    <row r="20" spans="1:20" ht="60" customHeight="1" x14ac:dyDescent="0.25">
      <c r="A20" s="212"/>
      <c r="B20" s="210"/>
      <c r="C20" s="210"/>
      <c r="D20" s="12" t="s">
        <v>82</v>
      </c>
      <c r="E20" s="13"/>
      <c r="F20" s="27">
        <v>1892.9710849999999</v>
      </c>
      <c r="G20" s="15"/>
      <c r="H20" s="27">
        <v>4978.152</v>
      </c>
      <c r="I20" s="27">
        <v>1819.0329240000001</v>
      </c>
      <c r="J20" s="27">
        <f>+H20-I20</f>
        <v>3159.1190759999999</v>
      </c>
      <c r="K20" s="27">
        <v>2537.8814120000002</v>
      </c>
      <c r="L20" s="27">
        <f>+($J$20/3)+K20</f>
        <v>3590.921104</v>
      </c>
      <c r="M20" s="27">
        <v>2639.3966679999999</v>
      </c>
      <c r="N20" s="27">
        <f>+($J$20/3)+M20</f>
        <v>3692.4363599999997</v>
      </c>
      <c r="O20" s="27">
        <v>1043.089563</v>
      </c>
      <c r="P20" s="27">
        <f>+($J$20/3)+O20</f>
        <v>2096.1292549999998</v>
      </c>
      <c r="Q20" s="27">
        <f>+F20+H20+K20+M20+O20</f>
        <v>13091.490727999999</v>
      </c>
      <c r="R20" s="27">
        <f>+F20+I20+L20+N20+P20</f>
        <v>13091.490728000001</v>
      </c>
    </row>
    <row r="21" spans="1:20" s="6" customFormat="1" ht="14.25" customHeight="1" x14ac:dyDescent="0.25">
      <c r="A21" s="16"/>
      <c r="B21" s="62" t="s">
        <v>52</v>
      </c>
      <c r="C21" s="62"/>
      <c r="D21" s="37"/>
      <c r="E21" s="38"/>
      <c r="F21" s="40">
        <f>SUM(F16:F20)</f>
        <v>35031.298524999998</v>
      </c>
      <c r="G21" s="41"/>
      <c r="H21" s="40">
        <f t="shared" ref="H21:R21" si="0">SUM(H16:H20)</f>
        <v>64755.612000000008</v>
      </c>
      <c r="I21" s="40">
        <f t="shared" si="0"/>
        <v>31964.259999999995</v>
      </c>
      <c r="J21" s="40">
        <f t="shared" si="0"/>
        <v>32791.351999999999</v>
      </c>
      <c r="K21" s="40">
        <f t="shared" si="0"/>
        <v>40328.702251000002</v>
      </c>
      <c r="L21" s="40">
        <f t="shared" si="0"/>
        <v>51259.152917666666</v>
      </c>
      <c r="M21" s="40">
        <f t="shared" si="0"/>
        <v>33364.479222000002</v>
      </c>
      <c r="N21" s="40">
        <f t="shared" si="0"/>
        <v>44294.929888666673</v>
      </c>
      <c r="O21" s="40">
        <f t="shared" si="0"/>
        <v>15149.902549</v>
      </c>
      <c r="P21" s="40">
        <f t="shared" si="0"/>
        <v>26080.35321566667</v>
      </c>
      <c r="Q21" s="71">
        <f t="shared" si="0"/>
        <v>188629.99454699998</v>
      </c>
      <c r="R21" s="71">
        <f t="shared" si="0"/>
        <v>188629.99454699998</v>
      </c>
      <c r="S21" s="40">
        <v>188629.99454699998</v>
      </c>
      <c r="T21" s="80">
        <f>+S21-R21</f>
        <v>0</v>
      </c>
    </row>
    <row r="22" spans="1:20" ht="21.75" customHeight="1" x14ac:dyDescent="0.25">
      <c r="Q22" s="65"/>
    </row>
    <row r="23" spans="1:20" ht="12.75" customHeight="1" x14ac:dyDescent="0.25">
      <c r="A23" s="6" t="s">
        <v>21</v>
      </c>
      <c r="B23" s="6" t="s">
        <v>22</v>
      </c>
      <c r="C23" s="6"/>
      <c r="Q23" s="66"/>
    </row>
    <row r="24" spans="1:20" ht="12.75" customHeight="1" x14ac:dyDescent="0.25">
      <c r="A24" s="8">
        <v>14</v>
      </c>
      <c r="B24" s="6" t="s">
        <v>23</v>
      </c>
      <c r="C24" s="6"/>
    </row>
    <row r="25" spans="1:20" ht="14.25" customHeight="1" x14ac:dyDescent="0.25"/>
    <row r="26" spans="1:20" s="10" customFormat="1" ht="29.25" customHeight="1" x14ac:dyDescent="0.25">
      <c r="A26" s="192" t="s">
        <v>2</v>
      </c>
      <c r="B26" s="192" t="s">
        <v>3</v>
      </c>
      <c r="C26" s="196" t="s">
        <v>66</v>
      </c>
      <c r="D26" s="192" t="s">
        <v>19</v>
      </c>
      <c r="E26" s="9"/>
      <c r="F26" s="61">
        <v>2016</v>
      </c>
      <c r="G26" s="72"/>
      <c r="H26" s="192">
        <v>2017</v>
      </c>
      <c r="I26" s="192"/>
      <c r="J26" s="192"/>
      <c r="K26" s="192">
        <v>2018</v>
      </c>
      <c r="L26" s="192"/>
      <c r="M26" s="192">
        <v>2019</v>
      </c>
      <c r="N26" s="192"/>
      <c r="O26" s="192">
        <v>2020</v>
      </c>
      <c r="P26" s="192"/>
      <c r="Q26" s="192" t="s">
        <v>77</v>
      </c>
      <c r="R26" s="192"/>
    </row>
    <row r="27" spans="1:20" s="10" customFormat="1" ht="15" customHeight="1" x14ac:dyDescent="0.25">
      <c r="A27" s="192"/>
      <c r="B27" s="192"/>
      <c r="C27" s="197"/>
      <c r="D27" s="192"/>
      <c r="E27" s="9"/>
      <c r="F27" s="191" t="s">
        <v>8</v>
      </c>
      <c r="G27" s="72"/>
      <c r="H27" s="191" t="s">
        <v>8</v>
      </c>
      <c r="I27" s="191" t="s">
        <v>83</v>
      </c>
      <c r="J27" s="191" t="s">
        <v>79</v>
      </c>
      <c r="K27" s="191" t="s">
        <v>8</v>
      </c>
      <c r="L27" s="191" t="s">
        <v>78</v>
      </c>
      <c r="M27" s="191" t="s">
        <v>8</v>
      </c>
      <c r="N27" s="191" t="s">
        <v>78</v>
      </c>
      <c r="O27" s="191" t="s">
        <v>8</v>
      </c>
      <c r="P27" s="191" t="s">
        <v>78</v>
      </c>
      <c r="Q27" s="191" t="s">
        <v>8</v>
      </c>
      <c r="R27" s="191" t="s">
        <v>78</v>
      </c>
    </row>
    <row r="28" spans="1:20" s="10" customFormat="1" ht="47.25" customHeight="1" x14ac:dyDescent="0.25">
      <c r="A28" s="192"/>
      <c r="B28" s="192"/>
      <c r="C28" s="198"/>
      <c r="D28" s="192"/>
      <c r="E28" s="11"/>
      <c r="F28" s="191"/>
      <c r="G28" s="73"/>
      <c r="H28" s="191"/>
      <c r="I28" s="191"/>
      <c r="J28" s="191"/>
      <c r="K28" s="191"/>
      <c r="L28" s="191"/>
      <c r="M28" s="191"/>
      <c r="N28" s="191"/>
      <c r="O28" s="191"/>
      <c r="P28" s="191"/>
      <c r="Q28" s="191"/>
      <c r="R28" s="191"/>
    </row>
    <row r="29" spans="1:20" ht="51" hidden="1" customHeight="1" x14ac:dyDescent="0.25">
      <c r="A29" s="225" t="s">
        <v>24</v>
      </c>
      <c r="B29" s="226" t="s">
        <v>25</v>
      </c>
      <c r="C29" s="62"/>
      <c r="D29" s="17" t="s">
        <v>9</v>
      </c>
      <c r="E29" s="13"/>
      <c r="F29" s="26"/>
      <c r="G29" s="74"/>
      <c r="H29" s="26"/>
      <c r="I29" s="74"/>
      <c r="J29" s="74"/>
      <c r="K29" s="27"/>
      <c r="L29" s="75"/>
      <c r="M29" s="19"/>
      <c r="N29" s="75"/>
      <c r="O29" s="19"/>
      <c r="P29" s="75"/>
      <c r="Q29" s="14"/>
      <c r="R29" s="75"/>
    </row>
    <row r="30" spans="1:20" ht="95.25" customHeight="1" x14ac:dyDescent="0.25">
      <c r="A30" s="225"/>
      <c r="B30" s="226"/>
      <c r="C30" s="226" t="s">
        <v>68</v>
      </c>
      <c r="D30" s="12" t="s">
        <v>47</v>
      </c>
      <c r="E30" s="13"/>
      <c r="F30" s="14">
        <v>2310.5661340000001</v>
      </c>
      <c r="G30" s="74"/>
      <c r="H30" s="32">
        <v>2534.25</v>
      </c>
      <c r="I30" s="32">
        <v>2292.7629999999999</v>
      </c>
      <c r="J30" s="32">
        <f>+H30-I30</f>
        <v>241.48700000000008</v>
      </c>
      <c r="K30" s="14">
        <v>2195.5</v>
      </c>
      <c r="L30" s="27">
        <f>+($J$30/3)+K30</f>
        <v>2275.9956666666667</v>
      </c>
      <c r="M30" s="27">
        <v>2159</v>
      </c>
      <c r="N30" s="27">
        <f>+($J$30/3)+M30</f>
        <v>2239.4956666666667</v>
      </c>
      <c r="O30" s="18">
        <v>0</v>
      </c>
      <c r="P30" s="27">
        <f>+($J$30/3)+O30</f>
        <v>80.495666666666693</v>
      </c>
      <c r="Q30" s="25">
        <f>+F30+H30+K30+M30+O30</f>
        <v>9199.3161340000006</v>
      </c>
      <c r="R30" s="27">
        <f>+F30+I30+L30+N30+P30</f>
        <v>9199.3161340000006</v>
      </c>
    </row>
    <row r="31" spans="1:20" ht="100.5" customHeight="1" x14ac:dyDescent="0.25">
      <c r="A31" s="225"/>
      <c r="B31" s="226"/>
      <c r="C31" s="226"/>
      <c r="D31" s="17" t="s">
        <v>48</v>
      </c>
      <c r="E31" s="13"/>
      <c r="F31" s="25">
        <v>6931.698402</v>
      </c>
      <c r="G31" s="74"/>
      <c r="H31" s="32">
        <v>7602.75</v>
      </c>
      <c r="I31" s="32">
        <v>6878.2889999999998</v>
      </c>
      <c r="J31" s="32">
        <f>+H31-I31</f>
        <v>724.46100000000024</v>
      </c>
      <c r="K31" s="32">
        <v>6586.5</v>
      </c>
      <c r="L31" s="27">
        <f>+($J$31/3)+K31</f>
        <v>6827.9870000000001</v>
      </c>
      <c r="M31" s="25">
        <v>6477</v>
      </c>
      <c r="N31" s="27">
        <f>+($J$31/3)+M31</f>
        <v>6718.4870000000001</v>
      </c>
      <c r="O31" s="25">
        <v>10063</v>
      </c>
      <c r="P31" s="27">
        <f>+($J$31/3)+O31</f>
        <v>10304.487000000001</v>
      </c>
      <c r="Q31" s="25">
        <f>+F31+H31+K31+M31+O31</f>
        <v>37660.948402000002</v>
      </c>
      <c r="R31" s="27">
        <f>+F31+I31+L31+N31+P31</f>
        <v>37660.948402000002</v>
      </c>
    </row>
    <row r="32" spans="1:20" s="6" customFormat="1" ht="15.75" customHeight="1" x14ac:dyDescent="0.25">
      <c r="A32" s="42"/>
      <c r="B32" s="60" t="s">
        <v>53</v>
      </c>
      <c r="C32" s="59"/>
      <c r="D32" s="43"/>
      <c r="E32" s="38"/>
      <c r="F32" s="44">
        <f>SUM(F30:F31)</f>
        <v>9242.2645360000006</v>
      </c>
      <c r="G32" s="76"/>
      <c r="H32" s="44">
        <f t="shared" ref="H32:R32" si="1">SUM(H30:H31)</f>
        <v>10137</v>
      </c>
      <c r="I32" s="44">
        <f t="shared" si="1"/>
        <v>9171.0519999999997</v>
      </c>
      <c r="J32" s="44">
        <f t="shared" si="1"/>
        <v>965.94800000000032</v>
      </c>
      <c r="K32" s="44">
        <f t="shared" si="1"/>
        <v>8782</v>
      </c>
      <c r="L32" s="44">
        <f t="shared" si="1"/>
        <v>9103.9826666666668</v>
      </c>
      <c r="M32" s="44">
        <f t="shared" si="1"/>
        <v>8636</v>
      </c>
      <c r="N32" s="44">
        <f t="shared" si="1"/>
        <v>8957.9826666666668</v>
      </c>
      <c r="O32" s="44">
        <f t="shared" si="1"/>
        <v>10063</v>
      </c>
      <c r="P32" s="44">
        <f t="shared" si="1"/>
        <v>10384.982666666667</v>
      </c>
      <c r="Q32" s="44">
        <f t="shared" si="1"/>
        <v>46860.264536000002</v>
      </c>
      <c r="R32" s="44">
        <f t="shared" si="1"/>
        <v>46860.264536000002</v>
      </c>
      <c r="S32" s="44">
        <v>46860.264536000002</v>
      </c>
      <c r="T32" s="81">
        <f>+S32-R32</f>
        <v>0</v>
      </c>
    </row>
    <row r="33" spans="1:20" s="21" customFormat="1" ht="144.75" customHeight="1" x14ac:dyDescent="0.25">
      <c r="A33" s="219" t="s">
        <v>10</v>
      </c>
      <c r="B33" s="222" t="s">
        <v>26</v>
      </c>
      <c r="C33" s="222" t="s">
        <v>69</v>
      </c>
      <c r="D33" s="17" t="s">
        <v>49</v>
      </c>
      <c r="E33" s="20"/>
      <c r="F33" s="33">
        <v>843.23047499999996</v>
      </c>
      <c r="G33" s="77"/>
      <c r="H33" s="34">
        <v>1469.4447319999999</v>
      </c>
      <c r="I33" s="34">
        <v>1115.2239999999999</v>
      </c>
      <c r="J33" s="34">
        <f>+H33-I33</f>
        <v>354.220732</v>
      </c>
      <c r="K33" s="34">
        <v>1272.873458</v>
      </c>
      <c r="L33" s="34">
        <f>+($J$33/3)+K33</f>
        <v>1390.9470353333334</v>
      </c>
      <c r="M33" s="25">
        <v>1252.0249899999999</v>
      </c>
      <c r="N33" s="34">
        <f>+($J$33/3)+M33</f>
        <v>1370.0985673333332</v>
      </c>
      <c r="O33" s="25">
        <v>1458.6482040000001</v>
      </c>
      <c r="P33" s="34">
        <f>+($J$33/3)+O33</f>
        <v>1576.7217813333334</v>
      </c>
      <c r="Q33" s="25">
        <f>+F33+H33+K33+M33+O33</f>
        <v>6296.2218590000002</v>
      </c>
      <c r="R33" s="27">
        <f t="shared" ref="R33:R39" si="2">+F33+I33+L33+N33+P33</f>
        <v>6296.2218590000002</v>
      </c>
    </row>
    <row r="34" spans="1:20" s="21" customFormat="1" ht="79.5" customHeight="1" x14ac:dyDescent="0.25">
      <c r="A34" s="220"/>
      <c r="B34" s="223"/>
      <c r="C34" s="223"/>
      <c r="D34" s="17" t="s">
        <v>50</v>
      </c>
      <c r="E34" s="20"/>
      <c r="F34" s="33">
        <v>607.23047499999996</v>
      </c>
      <c r="G34" s="77"/>
      <c r="H34" s="34">
        <v>1058.06277</v>
      </c>
      <c r="I34" s="34">
        <v>803.00900000000001</v>
      </c>
      <c r="J34" s="34">
        <f>+H34-I34</f>
        <v>255.05376999999999</v>
      </c>
      <c r="K34" s="34">
        <v>916.52308400000004</v>
      </c>
      <c r="L34" s="34">
        <f>+($J$34/3)+K34</f>
        <v>1001.5410073333334</v>
      </c>
      <c r="M34" s="25">
        <v>901.51129900000001</v>
      </c>
      <c r="N34" s="34">
        <f>+($J$34/3)+M34</f>
        <v>986.52922233333334</v>
      </c>
      <c r="O34" s="25">
        <v>1050.28881</v>
      </c>
      <c r="P34" s="34">
        <f>+($J$34/3)+O34</f>
        <v>1135.3067333333333</v>
      </c>
      <c r="Q34" s="25">
        <f>+F34+H34+K34+M34+O34</f>
        <v>4533.616438</v>
      </c>
      <c r="R34" s="27">
        <f t="shared" si="2"/>
        <v>4533.6164379999991</v>
      </c>
    </row>
    <row r="35" spans="1:20" s="21" customFormat="1" ht="201" customHeight="1" x14ac:dyDescent="0.25">
      <c r="A35" s="221"/>
      <c r="B35" s="224"/>
      <c r="C35" s="224"/>
      <c r="D35" s="17" t="s">
        <v>51</v>
      </c>
      <c r="E35" s="20"/>
      <c r="F35" s="28">
        <v>814.53904999999997</v>
      </c>
      <c r="G35" s="77"/>
      <c r="H35" s="29">
        <v>1419.492497</v>
      </c>
      <c r="I35" s="34">
        <v>1077.3130000000001</v>
      </c>
      <c r="J35" s="34">
        <f>+H35-I35</f>
        <v>342.17949699999986</v>
      </c>
      <c r="K35" s="29">
        <v>1229.603458</v>
      </c>
      <c r="L35" s="34">
        <f>+($J$35/3)+K35</f>
        <v>1343.6632903333334</v>
      </c>
      <c r="M35" s="25">
        <v>1209.4637110000001</v>
      </c>
      <c r="N35" s="34">
        <f>+($J$35/3)+M35</f>
        <v>1323.5235433333335</v>
      </c>
      <c r="O35" s="25">
        <v>1409.0629859999999</v>
      </c>
      <c r="P35" s="34">
        <f>+($J$35/3)+O35</f>
        <v>1523.1228183333333</v>
      </c>
      <c r="Q35" s="25">
        <f>+F35+H35+K35+M35+O35</f>
        <v>6082.1617020000003</v>
      </c>
      <c r="R35" s="27">
        <f t="shared" si="2"/>
        <v>6082.1617020000003</v>
      </c>
    </row>
    <row r="36" spans="1:20" s="47" customFormat="1" ht="15" customHeight="1" x14ac:dyDescent="0.25">
      <c r="A36" s="63"/>
      <c r="B36" s="64" t="s">
        <v>54</v>
      </c>
      <c r="C36" s="64"/>
      <c r="D36" s="43"/>
      <c r="E36" s="45"/>
      <c r="F36" s="46">
        <f>SUM(F33:F35)</f>
        <v>2265</v>
      </c>
      <c r="G36" s="78"/>
      <c r="H36" s="46">
        <f t="shared" ref="H36:R36" si="3">SUM(H33:H35)</f>
        <v>3946.9999989999997</v>
      </c>
      <c r="I36" s="46">
        <f t="shared" si="3"/>
        <v>2995.5460000000003</v>
      </c>
      <c r="J36" s="46">
        <f t="shared" si="3"/>
        <v>951.45399899999984</v>
      </c>
      <c r="K36" s="46">
        <f t="shared" si="3"/>
        <v>3419</v>
      </c>
      <c r="L36" s="46">
        <f t="shared" si="3"/>
        <v>3736.1513330000002</v>
      </c>
      <c r="M36" s="46">
        <f t="shared" si="3"/>
        <v>3363</v>
      </c>
      <c r="N36" s="46">
        <f t="shared" si="3"/>
        <v>3680.1513329999998</v>
      </c>
      <c r="O36" s="46">
        <f t="shared" si="3"/>
        <v>3918</v>
      </c>
      <c r="P36" s="46">
        <f t="shared" si="3"/>
        <v>4235.1513329999998</v>
      </c>
      <c r="Q36" s="46">
        <f t="shared" si="3"/>
        <v>16911.999999</v>
      </c>
      <c r="R36" s="46">
        <f t="shared" si="3"/>
        <v>16911.999999</v>
      </c>
      <c r="S36" s="46">
        <v>16911.999999</v>
      </c>
      <c r="T36" s="81">
        <f>+S36-R36</f>
        <v>0</v>
      </c>
    </row>
    <row r="37" spans="1:20" s="21" customFormat="1" ht="30" customHeight="1" x14ac:dyDescent="0.25">
      <c r="A37" s="216" t="s">
        <v>27</v>
      </c>
      <c r="B37" s="208" t="s">
        <v>28</v>
      </c>
      <c r="C37" s="208" t="s">
        <v>70</v>
      </c>
      <c r="D37" s="17" t="s">
        <v>29</v>
      </c>
      <c r="E37" s="20"/>
      <c r="F37" s="28">
        <v>1039</v>
      </c>
      <c r="G37" s="77"/>
      <c r="H37" s="29">
        <v>5710</v>
      </c>
      <c r="I37" s="29">
        <v>4252.8609999999999</v>
      </c>
      <c r="J37" s="29">
        <f>+H37-I37</f>
        <v>1457.1390000000001</v>
      </c>
      <c r="K37" s="29">
        <v>9082</v>
      </c>
      <c r="L37" s="29">
        <f>+($J$37/3)+K37</f>
        <v>9567.7129999999997</v>
      </c>
      <c r="M37" s="25">
        <v>4634</v>
      </c>
      <c r="N37" s="29">
        <f>+($J$37/3)+M37</f>
        <v>5119.7129999999997</v>
      </c>
      <c r="O37" s="25">
        <v>1739</v>
      </c>
      <c r="P37" s="29">
        <f>+($J$37/3)+O37</f>
        <v>2224.7130000000002</v>
      </c>
      <c r="Q37" s="25">
        <f>+F37+H37+K37+M37+O37</f>
        <v>22204</v>
      </c>
      <c r="R37" s="27">
        <f t="shared" si="2"/>
        <v>22204</v>
      </c>
      <c r="S37" s="10"/>
    </row>
    <row r="38" spans="1:20" s="21" customFormat="1" ht="30" x14ac:dyDescent="0.25">
      <c r="A38" s="217"/>
      <c r="B38" s="209"/>
      <c r="C38" s="209"/>
      <c r="D38" s="17" t="s">
        <v>30</v>
      </c>
      <c r="E38" s="20"/>
      <c r="F38" s="28">
        <v>257</v>
      </c>
      <c r="G38" s="77"/>
      <c r="H38" s="29">
        <v>527</v>
      </c>
      <c r="I38" s="29">
        <v>392.51400000000001</v>
      </c>
      <c r="J38" s="29">
        <f>+H38-I38</f>
        <v>134.48599999999999</v>
      </c>
      <c r="K38" s="29">
        <v>580</v>
      </c>
      <c r="L38" s="29">
        <f>+($J$38/3)+K38</f>
        <v>624.82866666666666</v>
      </c>
      <c r="M38" s="25">
        <v>296</v>
      </c>
      <c r="N38" s="29">
        <f>+($J$38/3)+M38</f>
        <v>340.82866666666666</v>
      </c>
      <c r="O38" s="25">
        <v>111</v>
      </c>
      <c r="P38" s="29">
        <f>+($J$38/3)+O38</f>
        <v>155.82866666666666</v>
      </c>
      <c r="Q38" s="56">
        <f>+F38+H38+K38+M38+O38</f>
        <v>1771</v>
      </c>
      <c r="R38" s="27">
        <f t="shared" si="2"/>
        <v>1771</v>
      </c>
      <c r="S38" s="10"/>
    </row>
    <row r="39" spans="1:20" ht="60" x14ac:dyDescent="0.25">
      <c r="A39" s="218"/>
      <c r="B39" s="210"/>
      <c r="C39" s="210"/>
      <c r="D39" s="17" t="s">
        <v>31</v>
      </c>
      <c r="E39" s="13"/>
      <c r="F39" s="27">
        <v>2758</v>
      </c>
      <c r="G39" s="74"/>
      <c r="H39" s="27">
        <v>2547</v>
      </c>
      <c r="I39" s="29">
        <v>1897.029</v>
      </c>
      <c r="J39" s="29">
        <f>+H39-I39</f>
        <v>649.971</v>
      </c>
      <c r="K39" s="27">
        <v>0</v>
      </c>
      <c r="L39" s="29">
        <f>+($J$39/3)+K39</f>
        <v>216.65700000000001</v>
      </c>
      <c r="M39" s="25">
        <v>0</v>
      </c>
      <c r="N39" s="29">
        <f>+($J$39/3)+M39</f>
        <v>216.65700000000001</v>
      </c>
      <c r="O39" s="27">
        <v>0</v>
      </c>
      <c r="P39" s="29">
        <f>+($J$39/3)+O39</f>
        <v>216.65700000000001</v>
      </c>
      <c r="Q39" s="57">
        <f>+F39+H39+K39+M39+O39</f>
        <v>5305</v>
      </c>
      <c r="R39" s="27">
        <f t="shared" si="2"/>
        <v>5305.0000000000009</v>
      </c>
      <c r="S39" s="10"/>
    </row>
    <row r="40" spans="1:20" s="6" customFormat="1" ht="18.75" customHeight="1" x14ac:dyDescent="0.25">
      <c r="A40" s="48"/>
      <c r="B40" s="49" t="s">
        <v>55</v>
      </c>
      <c r="C40" s="49"/>
      <c r="D40" s="43"/>
      <c r="E40" s="38"/>
      <c r="F40" s="40">
        <f>SUM(F37:F39)</f>
        <v>4054</v>
      </c>
      <c r="G40" s="76"/>
      <c r="H40" s="40">
        <f t="shared" ref="H40:R40" si="4">SUM(H37:H39)</f>
        <v>8784</v>
      </c>
      <c r="I40" s="40">
        <f t="shared" si="4"/>
        <v>6542.4040000000005</v>
      </c>
      <c r="J40" s="40">
        <f t="shared" si="4"/>
        <v>2241.596</v>
      </c>
      <c r="K40" s="40">
        <f t="shared" si="4"/>
        <v>9662</v>
      </c>
      <c r="L40" s="40">
        <f t="shared" si="4"/>
        <v>10409.198666666665</v>
      </c>
      <c r="M40" s="79">
        <f t="shared" si="4"/>
        <v>4930</v>
      </c>
      <c r="N40" s="79">
        <f t="shared" si="4"/>
        <v>5677.1986666666662</v>
      </c>
      <c r="O40" s="40">
        <f t="shared" si="4"/>
        <v>1850</v>
      </c>
      <c r="P40" s="40">
        <f t="shared" si="4"/>
        <v>2597.1986666666671</v>
      </c>
      <c r="Q40" s="58">
        <f t="shared" si="4"/>
        <v>29280</v>
      </c>
      <c r="R40" s="58">
        <f t="shared" si="4"/>
        <v>29280</v>
      </c>
      <c r="S40" s="58">
        <v>29280</v>
      </c>
      <c r="T40" s="81">
        <f>+S40-R40</f>
        <v>0</v>
      </c>
    </row>
    <row r="42" spans="1:20" ht="12.75" customHeight="1" x14ac:dyDescent="0.25">
      <c r="A42" s="6" t="s">
        <v>32</v>
      </c>
      <c r="B42" s="6" t="s">
        <v>33</v>
      </c>
      <c r="C42" s="6"/>
    </row>
    <row r="43" spans="1:20" ht="12.75" customHeight="1" x14ac:dyDescent="0.25">
      <c r="A43" s="8">
        <v>42</v>
      </c>
      <c r="B43" s="6" t="s">
        <v>34</v>
      </c>
      <c r="C43" s="6"/>
    </row>
    <row r="44" spans="1:20" ht="12.75" customHeight="1" x14ac:dyDescent="0.25">
      <c r="A44" s="8"/>
      <c r="B44" s="6"/>
      <c r="C44" s="6"/>
    </row>
    <row r="45" spans="1:20" s="10" customFormat="1" ht="29.25" customHeight="1" x14ac:dyDescent="0.25">
      <c r="A45" s="192" t="s">
        <v>2</v>
      </c>
      <c r="B45" s="192" t="s">
        <v>3</v>
      </c>
      <c r="C45" s="196" t="s">
        <v>66</v>
      </c>
      <c r="D45" s="192" t="s">
        <v>19</v>
      </c>
      <c r="E45" s="9"/>
      <c r="F45" s="61">
        <v>2016</v>
      </c>
      <c r="G45" s="72"/>
      <c r="H45" s="192">
        <v>2017</v>
      </c>
      <c r="I45" s="192"/>
      <c r="J45" s="192"/>
      <c r="K45" s="192">
        <v>2018</v>
      </c>
      <c r="L45" s="192"/>
      <c r="M45" s="192">
        <v>2019</v>
      </c>
      <c r="N45" s="192"/>
      <c r="O45" s="192">
        <v>2020</v>
      </c>
      <c r="P45" s="192"/>
      <c r="Q45" s="192" t="s">
        <v>77</v>
      </c>
      <c r="R45" s="192"/>
    </row>
    <row r="46" spans="1:20" s="10" customFormat="1" ht="15" customHeight="1" x14ac:dyDescent="0.25">
      <c r="A46" s="192"/>
      <c r="B46" s="192"/>
      <c r="C46" s="197"/>
      <c r="D46" s="192"/>
      <c r="E46" s="9"/>
      <c r="F46" s="229" t="s">
        <v>8</v>
      </c>
      <c r="G46" s="72"/>
      <c r="H46" s="229" t="s">
        <v>8</v>
      </c>
      <c r="I46" s="191" t="s">
        <v>83</v>
      </c>
      <c r="J46" s="191" t="s">
        <v>79</v>
      </c>
      <c r="K46" s="229" t="s">
        <v>8</v>
      </c>
      <c r="L46" s="191" t="s">
        <v>78</v>
      </c>
      <c r="M46" s="229" t="s">
        <v>8</v>
      </c>
      <c r="N46" s="191" t="s">
        <v>78</v>
      </c>
      <c r="O46" s="191" t="s">
        <v>8</v>
      </c>
      <c r="P46" s="191" t="s">
        <v>78</v>
      </c>
      <c r="Q46" s="229" t="s">
        <v>8</v>
      </c>
      <c r="R46" s="191" t="s">
        <v>78</v>
      </c>
    </row>
    <row r="47" spans="1:20" s="10" customFormat="1" ht="47.25" customHeight="1" x14ac:dyDescent="0.25">
      <c r="A47" s="192"/>
      <c r="B47" s="192"/>
      <c r="C47" s="198"/>
      <c r="D47" s="192"/>
      <c r="E47" s="11"/>
      <c r="F47" s="230"/>
      <c r="G47" s="73"/>
      <c r="H47" s="230"/>
      <c r="I47" s="191"/>
      <c r="J47" s="191"/>
      <c r="K47" s="230"/>
      <c r="L47" s="191"/>
      <c r="M47" s="230"/>
      <c r="N47" s="191"/>
      <c r="O47" s="191"/>
      <c r="P47" s="191"/>
      <c r="Q47" s="230"/>
      <c r="R47" s="191"/>
    </row>
    <row r="48" spans="1:20" ht="60" customHeight="1" x14ac:dyDescent="0.25">
      <c r="A48" s="227" t="s">
        <v>35</v>
      </c>
      <c r="B48" s="208" t="s">
        <v>36</v>
      </c>
      <c r="C48" s="208" t="s">
        <v>71</v>
      </c>
      <c r="D48" s="35" t="s">
        <v>37</v>
      </c>
      <c r="E48" s="13"/>
      <c r="F48" s="27">
        <v>341.4</v>
      </c>
      <c r="G48" s="15"/>
      <c r="H48" s="14">
        <v>250.08</v>
      </c>
      <c r="I48" s="26">
        <v>305.81400000000002</v>
      </c>
      <c r="J48" s="26">
        <f>+I48-H48</f>
        <v>55.734000000000009</v>
      </c>
      <c r="K48" s="14">
        <v>216.672</v>
      </c>
      <c r="L48" s="26">
        <f>+K48-($J$48/3)</f>
        <v>198.09399999999999</v>
      </c>
      <c r="M48" s="27">
        <v>213.072</v>
      </c>
      <c r="N48" s="26">
        <f>+M48-($J$48/3)</f>
        <v>194.494</v>
      </c>
      <c r="O48" s="27">
        <v>248.304</v>
      </c>
      <c r="P48" s="26">
        <f>+O48-($J$48/3)</f>
        <v>229.726</v>
      </c>
      <c r="Q48" s="27">
        <f>+F48+H48+K48+M48+O48</f>
        <v>1269.528</v>
      </c>
      <c r="R48" s="27">
        <f>+F48+I48+L48+N48+P48</f>
        <v>1269.5279999999998</v>
      </c>
    </row>
    <row r="49" spans="1:20" ht="60" customHeight="1" x14ac:dyDescent="0.25">
      <c r="A49" s="228"/>
      <c r="B49" s="210"/>
      <c r="C49" s="210"/>
      <c r="D49" s="35" t="s">
        <v>38</v>
      </c>
      <c r="E49" s="13"/>
      <c r="F49" s="27">
        <v>22.6</v>
      </c>
      <c r="G49" s="15"/>
      <c r="H49" s="26">
        <v>166.72</v>
      </c>
      <c r="I49" s="26">
        <v>203.876</v>
      </c>
      <c r="J49" s="26">
        <f>+I49-H49</f>
        <v>37.156000000000006</v>
      </c>
      <c r="K49" s="26">
        <v>144.44800000000001</v>
      </c>
      <c r="L49" s="26">
        <f>+K49-($J$49/3)</f>
        <v>132.06266666666667</v>
      </c>
      <c r="M49" s="27">
        <v>142.048</v>
      </c>
      <c r="N49" s="26">
        <f>+M49-($J$49/3)</f>
        <v>129.66266666666667</v>
      </c>
      <c r="O49" s="27">
        <v>165.536</v>
      </c>
      <c r="P49" s="26">
        <f>+O49-($J$49/3)</f>
        <v>153.15066666666667</v>
      </c>
      <c r="Q49" s="27">
        <f>+F49+H49+K49+M49+O49</f>
        <v>641.35200000000009</v>
      </c>
      <c r="R49" s="27">
        <f>+F49+I49+L49+N49+P49</f>
        <v>641.35200000000009</v>
      </c>
    </row>
    <row r="50" spans="1:20" s="6" customFormat="1" ht="18.75" customHeight="1" x14ac:dyDescent="0.25">
      <c r="A50" s="48"/>
      <c r="B50" s="49" t="s">
        <v>56</v>
      </c>
      <c r="C50" s="49"/>
      <c r="D50" s="43"/>
      <c r="E50" s="38"/>
      <c r="F50" s="40">
        <f>SUM(F48:F49)</f>
        <v>364</v>
      </c>
      <c r="G50" s="41"/>
      <c r="H50" s="40">
        <f t="shared" ref="H50:R50" si="5">SUM(H48:H49)</f>
        <v>416.8</v>
      </c>
      <c r="I50" s="40">
        <f t="shared" si="5"/>
        <v>509.69000000000005</v>
      </c>
      <c r="J50" s="40">
        <f t="shared" si="5"/>
        <v>92.890000000000015</v>
      </c>
      <c r="K50" s="40">
        <f t="shared" si="5"/>
        <v>361.12</v>
      </c>
      <c r="L50" s="40">
        <f t="shared" si="5"/>
        <v>330.15666666666664</v>
      </c>
      <c r="M50" s="40">
        <f t="shared" si="5"/>
        <v>355.12</v>
      </c>
      <c r="N50" s="40">
        <f t="shared" si="5"/>
        <v>324.15666666666664</v>
      </c>
      <c r="O50" s="40">
        <f t="shared" si="5"/>
        <v>413.84000000000003</v>
      </c>
      <c r="P50" s="40">
        <f t="shared" si="5"/>
        <v>382.87666666666667</v>
      </c>
      <c r="Q50" s="40">
        <f t="shared" si="5"/>
        <v>1910.88</v>
      </c>
      <c r="R50" s="40">
        <f t="shared" si="5"/>
        <v>1910.8799999999999</v>
      </c>
      <c r="S50" s="40">
        <v>1910.88</v>
      </c>
      <c r="T50" s="81">
        <f>+S50-R50</f>
        <v>0</v>
      </c>
    </row>
    <row r="51" spans="1:20" s="6" customFormat="1" ht="18.75" customHeight="1" x14ac:dyDescent="0.25">
      <c r="B51" s="50"/>
      <c r="C51" s="50"/>
      <c r="D51" s="51"/>
      <c r="E51" s="38"/>
      <c r="F51" s="52"/>
      <c r="G51" s="41"/>
      <c r="H51" s="52"/>
      <c r="I51" s="41"/>
      <c r="J51" s="41"/>
      <c r="K51" s="52"/>
      <c r="M51" s="53"/>
      <c r="O51" s="52"/>
      <c r="Q51" s="54"/>
    </row>
    <row r="52" spans="1:20" ht="12.75" customHeight="1" x14ac:dyDescent="0.25">
      <c r="A52" s="6" t="s">
        <v>32</v>
      </c>
      <c r="B52" s="6" t="s">
        <v>33</v>
      </c>
      <c r="C52" s="6"/>
    </row>
    <row r="53" spans="1:20" ht="12.75" customHeight="1" x14ac:dyDescent="0.25">
      <c r="A53" s="8">
        <v>43</v>
      </c>
      <c r="B53" s="6" t="s">
        <v>40</v>
      </c>
      <c r="C53" s="6"/>
    </row>
    <row r="54" spans="1:20" s="10" customFormat="1" ht="29.25" customHeight="1" x14ac:dyDescent="0.25">
      <c r="A54" s="192" t="s">
        <v>2</v>
      </c>
      <c r="B54" s="192" t="s">
        <v>3</v>
      </c>
      <c r="C54" s="196" t="s">
        <v>66</v>
      </c>
      <c r="D54" s="192" t="s">
        <v>19</v>
      </c>
      <c r="E54" s="9"/>
      <c r="F54" s="61">
        <v>2016</v>
      </c>
      <c r="G54" s="72"/>
      <c r="H54" s="192">
        <v>2017</v>
      </c>
      <c r="I54" s="192"/>
      <c r="J54" s="192"/>
      <c r="K54" s="192">
        <v>2018</v>
      </c>
      <c r="L54" s="192"/>
      <c r="M54" s="192">
        <v>2019</v>
      </c>
      <c r="N54" s="192"/>
      <c r="O54" s="192">
        <v>2020</v>
      </c>
      <c r="P54" s="192"/>
      <c r="Q54" s="192" t="s">
        <v>77</v>
      </c>
      <c r="R54" s="192"/>
    </row>
    <row r="55" spans="1:20" s="10" customFormat="1" ht="15" customHeight="1" x14ac:dyDescent="0.25">
      <c r="A55" s="192"/>
      <c r="B55" s="192"/>
      <c r="C55" s="197"/>
      <c r="D55" s="192"/>
      <c r="E55" s="9"/>
      <c r="F55" s="191" t="s">
        <v>8</v>
      </c>
      <c r="G55" s="72"/>
      <c r="H55" s="191" t="s">
        <v>8</v>
      </c>
      <c r="I55" s="191" t="s">
        <v>83</v>
      </c>
      <c r="J55" s="191" t="s">
        <v>79</v>
      </c>
      <c r="K55" s="191" t="s">
        <v>8</v>
      </c>
      <c r="L55" s="191" t="s">
        <v>78</v>
      </c>
      <c r="M55" s="191" t="s">
        <v>8</v>
      </c>
      <c r="N55" s="191" t="s">
        <v>78</v>
      </c>
      <c r="O55" s="191" t="s">
        <v>8</v>
      </c>
      <c r="P55" s="191" t="s">
        <v>78</v>
      </c>
      <c r="Q55" s="191" t="s">
        <v>8</v>
      </c>
      <c r="R55" s="191" t="s">
        <v>78</v>
      </c>
    </row>
    <row r="56" spans="1:20" s="10" customFormat="1" ht="47.25" customHeight="1" x14ac:dyDescent="0.25">
      <c r="A56" s="192"/>
      <c r="B56" s="192"/>
      <c r="C56" s="198"/>
      <c r="D56" s="192"/>
      <c r="E56" s="11"/>
      <c r="F56" s="191"/>
      <c r="G56" s="73"/>
      <c r="H56" s="191"/>
      <c r="I56" s="191"/>
      <c r="J56" s="191"/>
      <c r="K56" s="191"/>
      <c r="L56" s="191"/>
      <c r="M56" s="191"/>
      <c r="N56" s="191"/>
      <c r="O56" s="191"/>
      <c r="P56" s="191"/>
      <c r="Q56" s="191"/>
      <c r="R56" s="191"/>
    </row>
    <row r="57" spans="1:20" ht="88.5" customHeight="1" x14ac:dyDescent="0.25">
      <c r="A57" s="227" t="s">
        <v>39</v>
      </c>
      <c r="B57" s="208" t="s">
        <v>13</v>
      </c>
      <c r="C57" s="208" t="s">
        <v>72</v>
      </c>
      <c r="D57" s="35" t="s">
        <v>41</v>
      </c>
      <c r="E57" s="13"/>
      <c r="F57" s="30">
        <v>81.079556999999994</v>
      </c>
      <c r="G57" s="15"/>
      <c r="H57" s="26">
        <v>104.2</v>
      </c>
      <c r="I57" s="26">
        <v>236.870983</v>
      </c>
      <c r="J57" s="26">
        <f>+I57-H57</f>
        <v>132.67098299999998</v>
      </c>
      <c r="K57" s="27">
        <v>90.28</v>
      </c>
      <c r="L57" s="27">
        <f>+K57-($J$57/3)</f>
        <v>46.056339000000008</v>
      </c>
      <c r="M57" s="27">
        <v>88.78</v>
      </c>
      <c r="N57" s="27">
        <f>+M57-($J$57/3)</f>
        <v>44.556339000000008</v>
      </c>
      <c r="O57" s="27">
        <v>103.46</v>
      </c>
      <c r="P57" s="27">
        <f>+O57-($J$57/3)</f>
        <v>59.236339000000001</v>
      </c>
      <c r="Q57" s="27">
        <f>+F57+H57+K57+M57+O57</f>
        <v>467.79955699999999</v>
      </c>
      <c r="R57" s="27">
        <f>+F57+I57+L57+N57+P57</f>
        <v>467.79955699999999</v>
      </c>
    </row>
    <row r="58" spans="1:20" ht="169.5" customHeight="1" x14ac:dyDescent="0.25">
      <c r="A58" s="228"/>
      <c r="B58" s="210"/>
      <c r="C58" s="210"/>
      <c r="D58" s="35" t="s">
        <v>42</v>
      </c>
      <c r="E58" s="13"/>
      <c r="F58" s="26">
        <v>2066.920443</v>
      </c>
      <c r="G58" s="15"/>
      <c r="H58" s="26">
        <v>2969.7</v>
      </c>
      <c r="I58" s="26">
        <v>6750.8230169999997</v>
      </c>
      <c r="J58" s="26">
        <f>+I58-H58</f>
        <v>3781.1230169999999</v>
      </c>
      <c r="K58" s="26">
        <v>2572.98</v>
      </c>
      <c r="L58" s="27">
        <f>+K58-($J$58/3)</f>
        <v>1312.6056610000001</v>
      </c>
      <c r="M58" s="27">
        <v>2530.23</v>
      </c>
      <c r="N58" s="27">
        <f>+M58-($J$58/3)</f>
        <v>1269.8556610000001</v>
      </c>
      <c r="O58" s="27">
        <v>2948.61</v>
      </c>
      <c r="P58" s="27">
        <f>+O58-($J$58/3)</f>
        <v>1688.2356610000002</v>
      </c>
      <c r="Q58" s="27">
        <f>+F58+H58+K58+M58+O58</f>
        <v>13088.440443</v>
      </c>
      <c r="R58" s="27">
        <f>+F58+I58+L58+N58+P58</f>
        <v>13088.440443</v>
      </c>
    </row>
    <row r="59" spans="1:20" s="6" customFormat="1" ht="18.75" customHeight="1" x14ac:dyDescent="0.25">
      <c r="A59" s="48"/>
      <c r="B59" s="49" t="s">
        <v>57</v>
      </c>
      <c r="C59" s="49"/>
      <c r="D59" s="43"/>
      <c r="E59" s="38"/>
      <c r="F59" s="40">
        <f>SUM(F57:F58)</f>
        <v>2148</v>
      </c>
      <c r="G59" s="41"/>
      <c r="H59" s="40">
        <f t="shared" ref="H59:R59" si="6">SUM(H57:H58)</f>
        <v>3073.8999999999996</v>
      </c>
      <c r="I59" s="40">
        <f t="shared" si="6"/>
        <v>6987.6939999999995</v>
      </c>
      <c r="J59" s="40">
        <f t="shared" si="6"/>
        <v>3913.7939999999999</v>
      </c>
      <c r="K59" s="40">
        <f t="shared" si="6"/>
        <v>2663.26</v>
      </c>
      <c r="L59" s="40">
        <f t="shared" si="6"/>
        <v>1358.662</v>
      </c>
      <c r="M59" s="40">
        <f t="shared" si="6"/>
        <v>2619.0100000000002</v>
      </c>
      <c r="N59" s="40">
        <f t="shared" si="6"/>
        <v>1314.412</v>
      </c>
      <c r="O59" s="40">
        <f t="shared" si="6"/>
        <v>3052.07</v>
      </c>
      <c r="P59" s="40">
        <f t="shared" si="6"/>
        <v>1747.4720000000002</v>
      </c>
      <c r="Q59" s="40">
        <f t="shared" si="6"/>
        <v>13556.24</v>
      </c>
      <c r="R59" s="40">
        <f t="shared" si="6"/>
        <v>13556.24</v>
      </c>
      <c r="S59" s="40">
        <v>13556.24</v>
      </c>
      <c r="T59" s="81">
        <f>+S59-R59</f>
        <v>0</v>
      </c>
    </row>
    <row r="60" spans="1:20" s="6" customFormat="1" ht="18.75" customHeight="1" x14ac:dyDescent="0.25">
      <c r="B60" s="50"/>
      <c r="C60" s="50"/>
      <c r="D60" s="51"/>
      <c r="E60" s="38"/>
      <c r="F60" s="52"/>
      <c r="G60" s="41"/>
      <c r="H60" s="52"/>
      <c r="I60" s="41"/>
      <c r="J60" s="41"/>
      <c r="K60" s="52"/>
      <c r="M60" s="52"/>
      <c r="O60" s="52"/>
      <c r="Q60" s="52"/>
    </row>
    <row r="61" spans="1:20" ht="12.75" customHeight="1" x14ac:dyDescent="0.25">
      <c r="A61" s="6" t="s">
        <v>32</v>
      </c>
      <c r="B61" s="6" t="s">
        <v>33</v>
      </c>
      <c r="C61" s="6"/>
    </row>
    <row r="62" spans="1:20" ht="12.75" customHeight="1" x14ac:dyDescent="0.25">
      <c r="A62" s="8">
        <v>44</v>
      </c>
      <c r="B62" s="6" t="s">
        <v>43</v>
      </c>
      <c r="C62" s="6"/>
    </row>
    <row r="63" spans="1:20" s="10" customFormat="1" ht="29.25" customHeight="1" x14ac:dyDescent="0.25">
      <c r="A63" s="192" t="s">
        <v>2</v>
      </c>
      <c r="B63" s="192" t="s">
        <v>3</v>
      </c>
      <c r="C63" s="196" t="s">
        <v>66</v>
      </c>
      <c r="D63" s="192" t="s">
        <v>19</v>
      </c>
      <c r="E63" s="9"/>
      <c r="F63" s="61">
        <v>2016</v>
      </c>
      <c r="G63" s="72"/>
      <c r="H63" s="192">
        <v>2017</v>
      </c>
      <c r="I63" s="192"/>
      <c r="J63" s="192"/>
      <c r="K63" s="192">
        <v>2018</v>
      </c>
      <c r="L63" s="192"/>
      <c r="M63" s="192">
        <v>2019</v>
      </c>
      <c r="N63" s="192"/>
      <c r="O63" s="192">
        <v>2020</v>
      </c>
      <c r="P63" s="192"/>
      <c r="Q63" s="192" t="s">
        <v>77</v>
      </c>
      <c r="R63" s="192"/>
    </row>
    <row r="64" spans="1:20" s="10" customFormat="1" ht="15" customHeight="1" x14ac:dyDescent="0.25">
      <c r="A64" s="192"/>
      <c r="B64" s="192"/>
      <c r="C64" s="197"/>
      <c r="D64" s="192"/>
      <c r="E64" s="9"/>
      <c r="F64" s="191" t="s">
        <v>8</v>
      </c>
      <c r="G64" s="72"/>
      <c r="H64" s="191" t="s">
        <v>8</v>
      </c>
      <c r="I64" s="191" t="s">
        <v>83</v>
      </c>
      <c r="J64" s="191" t="s">
        <v>79</v>
      </c>
      <c r="K64" s="191" t="s">
        <v>8</v>
      </c>
      <c r="L64" s="191" t="s">
        <v>78</v>
      </c>
      <c r="M64" s="191" t="s">
        <v>8</v>
      </c>
      <c r="N64" s="191" t="s">
        <v>78</v>
      </c>
      <c r="O64" s="191" t="s">
        <v>8</v>
      </c>
      <c r="P64" s="191" t="s">
        <v>78</v>
      </c>
      <c r="Q64" s="191" t="s">
        <v>8</v>
      </c>
      <c r="R64" s="191" t="s">
        <v>78</v>
      </c>
    </row>
    <row r="65" spans="1:20" s="10" customFormat="1" ht="47.25" customHeight="1" x14ac:dyDescent="0.25">
      <c r="A65" s="192"/>
      <c r="B65" s="192"/>
      <c r="C65" s="198"/>
      <c r="D65" s="192"/>
      <c r="E65" s="11"/>
      <c r="F65" s="191"/>
      <c r="G65" s="73"/>
      <c r="H65" s="191"/>
      <c r="I65" s="191"/>
      <c r="J65" s="191"/>
      <c r="K65" s="191"/>
      <c r="L65" s="191"/>
      <c r="M65" s="191"/>
      <c r="N65" s="191"/>
      <c r="O65" s="191"/>
      <c r="P65" s="191"/>
      <c r="Q65" s="191"/>
      <c r="R65" s="191"/>
    </row>
    <row r="66" spans="1:20" ht="150.75" customHeight="1" x14ac:dyDescent="0.25">
      <c r="A66" s="36" t="s">
        <v>44</v>
      </c>
      <c r="B66" s="22" t="s">
        <v>45</v>
      </c>
      <c r="C66" s="22" t="s">
        <v>73</v>
      </c>
      <c r="D66" s="35" t="s">
        <v>46</v>
      </c>
      <c r="E66" s="13"/>
      <c r="F66" s="26">
        <v>1477.73677</v>
      </c>
      <c r="G66" s="15"/>
      <c r="H66" s="26">
        <v>1719.3</v>
      </c>
      <c r="I66" s="26">
        <v>2892.9319999999998</v>
      </c>
      <c r="J66" s="26">
        <f>+I66-H66</f>
        <v>1173.6319999999998</v>
      </c>
      <c r="K66" s="27">
        <v>1489.62</v>
      </c>
      <c r="L66" s="27">
        <f>+K66-($J$66/3)</f>
        <v>1098.4093333333333</v>
      </c>
      <c r="M66" s="27">
        <v>1464.87</v>
      </c>
      <c r="N66" s="27">
        <f>+M66-($J$66/3)</f>
        <v>1073.6593333333333</v>
      </c>
      <c r="O66" s="27">
        <v>1707.09</v>
      </c>
      <c r="P66" s="27">
        <f>+O66-($J$66/3)</f>
        <v>1315.8793333333333</v>
      </c>
      <c r="Q66" s="27">
        <f>+F66+H66+K66+M66+O66</f>
        <v>7858.6167699999996</v>
      </c>
      <c r="R66" s="27">
        <f>+F66+I66+L66+N66+P66</f>
        <v>7858.6167699999996</v>
      </c>
    </row>
    <row r="67" spans="1:20" s="6" customFormat="1" ht="19.5" customHeight="1" x14ac:dyDescent="0.25">
      <c r="A67" s="48"/>
      <c r="B67" s="49" t="s">
        <v>58</v>
      </c>
      <c r="C67" s="49"/>
      <c r="D67" s="43"/>
      <c r="E67" s="38"/>
      <c r="F67" s="40">
        <f>SUM(F66)</f>
        <v>1477.73677</v>
      </c>
      <c r="G67" s="41"/>
      <c r="H67" s="40">
        <f t="shared" ref="H67:R67" si="7">SUM(H66)</f>
        <v>1719.3</v>
      </c>
      <c r="I67" s="40">
        <f t="shared" si="7"/>
        <v>2892.9319999999998</v>
      </c>
      <c r="J67" s="40">
        <f t="shared" si="7"/>
        <v>1173.6319999999998</v>
      </c>
      <c r="K67" s="40">
        <f t="shared" si="7"/>
        <v>1489.62</v>
      </c>
      <c r="L67" s="40">
        <f t="shared" si="7"/>
        <v>1098.4093333333333</v>
      </c>
      <c r="M67" s="40">
        <f t="shared" si="7"/>
        <v>1464.87</v>
      </c>
      <c r="N67" s="40">
        <f t="shared" si="7"/>
        <v>1073.6593333333333</v>
      </c>
      <c r="O67" s="40">
        <f t="shared" si="7"/>
        <v>1707.09</v>
      </c>
      <c r="P67" s="40">
        <f t="shared" si="7"/>
        <v>1315.8793333333333</v>
      </c>
      <c r="Q67" s="40">
        <f t="shared" si="7"/>
        <v>7858.6167699999996</v>
      </c>
      <c r="R67" s="40">
        <f t="shared" si="7"/>
        <v>7858.6167699999996</v>
      </c>
      <c r="S67" s="40">
        <v>7858.6167699999996</v>
      </c>
      <c r="T67" s="81">
        <f>+S67-R67</f>
        <v>0</v>
      </c>
    </row>
    <row r="69" spans="1:20" x14ac:dyDescent="0.25">
      <c r="F69" s="23">
        <f>+F21+F32+F36+F40+F50+F59+F67</f>
        <v>54582.299831000004</v>
      </c>
      <c r="M69" s="6"/>
      <c r="N69" s="6"/>
      <c r="O69" s="6"/>
      <c r="P69" s="6"/>
      <c r="Q69" s="23">
        <f>+Q21+Q32+Q36+Q40+Q50+Q59+Q67</f>
        <v>305007.99585200002</v>
      </c>
      <c r="R69" s="23">
        <f>+R21+R32+R36+R40+R50+R59+R67</f>
        <v>305007.99585200002</v>
      </c>
      <c r="S69" s="80">
        <f>+Q69-R69</f>
        <v>0</v>
      </c>
    </row>
    <row r="70" spans="1:20" x14ac:dyDescent="0.25">
      <c r="K70" s="23"/>
      <c r="M70" s="23"/>
      <c r="N70" s="6"/>
      <c r="O70" s="23"/>
      <c r="P70" s="6"/>
      <c r="Q70" s="23"/>
    </row>
    <row r="72" spans="1:20" x14ac:dyDescent="0.25">
      <c r="F72" s="66">
        <f>+F66-403.513049</f>
        <v>1074.2237209999998</v>
      </c>
    </row>
  </sheetData>
  <mergeCells count="129">
    <mergeCell ref="J14:J15"/>
    <mergeCell ref="Q55:Q56"/>
    <mergeCell ref="M55:M56"/>
    <mergeCell ref="O55:O56"/>
    <mergeCell ref="H55:H56"/>
    <mergeCell ref="K55:K56"/>
    <mergeCell ref="I55:I56"/>
    <mergeCell ref="J55:J56"/>
    <mergeCell ref="H54:J54"/>
    <mergeCell ref="K54:L54"/>
    <mergeCell ref="O27:O28"/>
    <mergeCell ref="N27:N28"/>
    <mergeCell ref="Q27:Q28"/>
    <mergeCell ref="O26:P26"/>
    <mergeCell ref="Q26:R26"/>
    <mergeCell ref="P27:P28"/>
    <mergeCell ref="R27:R28"/>
    <mergeCell ref="P14:P15"/>
    <mergeCell ref="O13:P13"/>
    <mergeCell ref="R14:R15"/>
    <mergeCell ref="Q13:R13"/>
    <mergeCell ref="O14:O15"/>
    <mergeCell ref="Q14:Q15"/>
    <mergeCell ref="K14:K15"/>
    <mergeCell ref="L14:L15"/>
    <mergeCell ref="M14:M15"/>
    <mergeCell ref="N14:N15"/>
    <mergeCell ref="A63:A65"/>
    <mergeCell ref="B63:B65"/>
    <mergeCell ref="C63:C65"/>
    <mergeCell ref="D63:D65"/>
    <mergeCell ref="C57:C58"/>
    <mergeCell ref="A57:A58"/>
    <mergeCell ref="B57:B58"/>
    <mergeCell ref="C54:C56"/>
    <mergeCell ref="D54:D56"/>
    <mergeCell ref="A54:A56"/>
    <mergeCell ref="B54:B56"/>
    <mergeCell ref="A48:A49"/>
    <mergeCell ref="B48:B49"/>
    <mergeCell ref="C48:C49"/>
    <mergeCell ref="M46:M47"/>
    <mergeCell ref="O46:O47"/>
    <mergeCell ref="Q46:Q47"/>
    <mergeCell ref="D45:D47"/>
    <mergeCell ref="H46:H47"/>
    <mergeCell ref="K46:K47"/>
    <mergeCell ref="A45:A47"/>
    <mergeCell ref="B45:B47"/>
    <mergeCell ref="C45:C47"/>
    <mergeCell ref="K45:L45"/>
    <mergeCell ref="M45:N45"/>
    <mergeCell ref="O45:P45"/>
    <mergeCell ref="Q45:R45"/>
    <mergeCell ref="F46:F47"/>
    <mergeCell ref="A37:A39"/>
    <mergeCell ref="B37:B39"/>
    <mergeCell ref="C37:C39"/>
    <mergeCell ref="A33:A35"/>
    <mergeCell ref="B33:B35"/>
    <mergeCell ref="C33:C35"/>
    <mergeCell ref="A29:A31"/>
    <mergeCell ref="B29:B31"/>
    <mergeCell ref="M27:M28"/>
    <mergeCell ref="H27:H28"/>
    <mergeCell ref="K27:K28"/>
    <mergeCell ref="A26:A28"/>
    <mergeCell ref="B26:B28"/>
    <mergeCell ref="L27:L28"/>
    <mergeCell ref="C30:C31"/>
    <mergeCell ref="I27:I28"/>
    <mergeCell ref="J27:J28"/>
    <mergeCell ref="F27:F28"/>
    <mergeCell ref="A3:D3"/>
    <mergeCell ref="A4:D4"/>
    <mergeCell ref="A5:D5"/>
    <mergeCell ref="H26:J26"/>
    <mergeCell ref="K26:L26"/>
    <mergeCell ref="M26:N26"/>
    <mergeCell ref="F14:F15"/>
    <mergeCell ref="B13:B15"/>
    <mergeCell ref="C13:C15"/>
    <mergeCell ref="D13:D15"/>
    <mergeCell ref="A13:A15"/>
    <mergeCell ref="A6:D6"/>
    <mergeCell ref="A8:D8"/>
    <mergeCell ref="B10:D10"/>
    <mergeCell ref="C26:C28"/>
    <mergeCell ref="D26:D28"/>
    <mergeCell ref="B16:B20"/>
    <mergeCell ref="C16:C20"/>
    <mergeCell ref="A16:A20"/>
    <mergeCell ref="H13:J13"/>
    <mergeCell ref="K13:L13"/>
    <mergeCell ref="M13:N13"/>
    <mergeCell ref="H14:H15"/>
    <mergeCell ref="I14:I15"/>
    <mergeCell ref="R64:R65"/>
    <mergeCell ref="L55:L56"/>
    <mergeCell ref="N55:N56"/>
    <mergeCell ref="P55:P56"/>
    <mergeCell ref="R55:R56"/>
    <mergeCell ref="K63:L63"/>
    <mergeCell ref="M63:N63"/>
    <mergeCell ref="Q63:R63"/>
    <mergeCell ref="R46:R47"/>
    <mergeCell ref="M54:N54"/>
    <mergeCell ref="O54:P54"/>
    <mergeCell ref="Q54:R54"/>
    <mergeCell ref="L46:L47"/>
    <mergeCell ref="N46:N47"/>
    <mergeCell ref="P46:P47"/>
    <mergeCell ref="O64:O65"/>
    <mergeCell ref="Q64:Q65"/>
    <mergeCell ref="K64:K65"/>
    <mergeCell ref="M64:M65"/>
    <mergeCell ref="O63:P63"/>
    <mergeCell ref="F55:F56"/>
    <mergeCell ref="F64:F65"/>
    <mergeCell ref="I64:I65"/>
    <mergeCell ref="J64:J65"/>
    <mergeCell ref="H63:J63"/>
    <mergeCell ref="H45:J45"/>
    <mergeCell ref="L64:L65"/>
    <mergeCell ref="N64:N65"/>
    <mergeCell ref="P64:P65"/>
    <mergeCell ref="I46:I47"/>
    <mergeCell ref="J46:J47"/>
    <mergeCell ref="H64:H65"/>
  </mergeCells>
  <pageMargins left="0.7" right="0.7" top="0.75" bottom="0.75" header="0.3" footer="0.3"/>
  <customProperties>
    <customPr name="_pios_id" r:id="rId1"/>
    <customPr name="EpmWorksheetKeyString_GU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pageSetUpPr fitToPage="1"/>
  </sheetPr>
  <dimension ref="A1:AL100"/>
  <sheetViews>
    <sheetView tabSelected="1" topLeftCell="A2" zoomScale="70" zoomScaleNormal="70" workbookViewId="0">
      <pane xSplit="6" ySplit="15" topLeftCell="N17" activePane="bottomRight" state="frozen"/>
      <selection activeCell="A2" sqref="A2"/>
      <selection pane="topRight" activeCell="G2" sqref="G2"/>
      <selection pane="bottomLeft" activeCell="A17" sqref="A17"/>
      <selection pane="bottomRight" activeCell="A2" sqref="A2:AL2"/>
    </sheetView>
  </sheetViews>
  <sheetFormatPr baseColWidth="10" defaultColWidth="11.42578125" defaultRowHeight="15" x14ac:dyDescent="0.25"/>
  <cols>
    <col min="1" max="1" width="7.42578125" style="102" customWidth="1"/>
    <col min="2" max="2" width="20.28515625" style="7" hidden="1" customWidth="1"/>
    <col min="3" max="3" width="15.7109375" style="7" hidden="1" customWidth="1"/>
    <col min="4" max="4" width="39.42578125" style="7" hidden="1" customWidth="1"/>
    <col min="5" max="5" width="47.85546875" style="7" hidden="1" customWidth="1"/>
    <col min="6" max="6" width="55.5703125" style="7" customWidth="1"/>
    <col min="7" max="7" width="35.85546875" style="7" customWidth="1"/>
    <col min="8" max="8" width="44.28515625" style="7" hidden="1" customWidth="1"/>
    <col min="9" max="9" width="1.85546875" style="7" customWidth="1"/>
    <col min="10" max="10" width="10.7109375" style="102" customWidth="1"/>
    <col min="11" max="11" width="10.7109375" style="7" customWidth="1"/>
    <col min="12" max="12" width="19.7109375" style="172" customWidth="1"/>
    <col min="13" max="13" width="18.7109375" style="7" customWidth="1"/>
    <col min="14" max="14" width="0.5703125" style="7" customWidth="1"/>
    <col min="15" max="16" width="10.7109375" style="7" customWidth="1"/>
    <col min="17" max="17" width="20.5703125" style="7" bestFit="1" customWidth="1"/>
    <col min="18" max="18" width="16.28515625" style="7" bestFit="1" customWidth="1"/>
    <col min="19" max="19" width="0.5703125" style="7" customWidth="1"/>
    <col min="20" max="21" width="10.7109375" style="7" customWidth="1"/>
    <col min="22" max="22" width="18.7109375" style="7" customWidth="1"/>
    <col min="23" max="23" width="14.7109375" style="7" bestFit="1" customWidth="1"/>
    <col min="24" max="24" width="0.5703125" style="7" customWidth="1"/>
    <col min="25" max="26" width="10.7109375" style="7" customWidth="1"/>
    <col min="27" max="27" width="20.5703125" style="7" customWidth="1"/>
    <col min="28" max="28" width="13.140625" style="7" bestFit="1" customWidth="1"/>
    <col min="29" max="29" width="0.85546875" style="7" customWidth="1"/>
    <col min="30" max="31" width="10.7109375" style="7" customWidth="1"/>
    <col min="32" max="32" width="19" style="7" customWidth="1"/>
    <col min="33" max="33" width="18.140625" style="7" customWidth="1"/>
    <col min="34" max="34" width="1.42578125" style="7" customWidth="1"/>
    <col min="35" max="35" width="15.28515625" style="84" customWidth="1"/>
    <col min="36" max="36" width="15.5703125" style="84" customWidth="1"/>
    <col min="37" max="37" width="19.140625" style="84" customWidth="1"/>
    <col min="38" max="38" width="20.85546875" style="84" customWidth="1"/>
    <col min="39" max="39" width="7.7109375" style="7" customWidth="1"/>
    <col min="40" max="40" width="6.85546875" style="7" customWidth="1"/>
    <col min="41" max="16384" width="11.42578125" style="7"/>
  </cols>
  <sheetData>
    <row r="1" spans="1:38" hidden="1" x14ac:dyDescent="0.25">
      <c r="A1" s="7"/>
      <c r="L1" s="114">
        <v>1000000</v>
      </c>
    </row>
    <row r="2" spans="1:38" s="142" customFormat="1" x14ac:dyDescent="0.25">
      <c r="A2" s="232" t="s">
        <v>0</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4"/>
    </row>
    <row r="3" spans="1:38" s="142" customFormat="1" x14ac:dyDescent="0.25">
      <c r="A3" s="232" t="s">
        <v>91</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c r="AL3" s="234"/>
    </row>
    <row r="4" spans="1:38" s="142" customFormat="1" x14ac:dyDescent="0.25">
      <c r="A4" s="232" t="s">
        <v>0</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4"/>
    </row>
    <row r="5" spans="1:38" s="142" customFormat="1" x14ac:dyDescent="0.25">
      <c r="A5" s="232" t="s">
        <v>92</v>
      </c>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4"/>
    </row>
    <row r="6" spans="1:38" s="142" customFormat="1" x14ac:dyDescent="0.25">
      <c r="A6" s="232" t="s">
        <v>190</v>
      </c>
      <c r="B6" s="233"/>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4"/>
    </row>
    <row r="7" spans="1:38" s="143" customFormat="1" ht="15.75" customHeight="1" x14ac:dyDescent="0.2">
      <c r="A7" s="237"/>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row>
    <row r="8" spans="1:38" s="142" customFormat="1" ht="12.75" hidden="1" x14ac:dyDescent="0.2">
      <c r="A8" s="144"/>
      <c r="B8" s="145"/>
      <c r="C8" s="145"/>
      <c r="D8" s="145"/>
      <c r="E8" s="145"/>
      <c r="F8" s="145"/>
      <c r="G8" s="145"/>
      <c r="H8" s="145"/>
      <c r="I8" s="146"/>
      <c r="J8" s="144"/>
      <c r="K8" s="146"/>
      <c r="L8" s="147"/>
      <c r="M8" s="146"/>
      <c r="N8" s="146"/>
      <c r="O8" s="146"/>
      <c r="P8" s="146"/>
      <c r="Q8" s="146"/>
      <c r="R8" s="146"/>
      <c r="T8" s="148"/>
      <c r="U8" s="148"/>
      <c r="V8" s="148"/>
      <c r="W8" s="148"/>
      <c r="Y8" s="148"/>
      <c r="Z8" s="148"/>
      <c r="AA8" s="148"/>
      <c r="AB8" s="148"/>
      <c r="AD8" s="146"/>
      <c r="AE8" s="146"/>
      <c r="AF8" s="148"/>
      <c r="AG8" s="148"/>
      <c r="AI8" s="149"/>
      <c r="AJ8" s="149"/>
      <c r="AK8" s="149"/>
      <c r="AL8" s="150"/>
    </row>
    <row r="9" spans="1:38" hidden="1" x14ac:dyDescent="0.25">
      <c r="A9" s="101">
        <v>1</v>
      </c>
      <c r="B9" s="90" t="s">
        <v>93</v>
      </c>
      <c r="C9" s="231" t="s">
        <v>96</v>
      </c>
      <c r="D9" s="231"/>
      <c r="E9" s="231"/>
      <c r="F9" s="231"/>
      <c r="G9" s="231"/>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231"/>
    </row>
    <row r="10" spans="1:38" hidden="1" x14ac:dyDescent="0.25">
      <c r="A10" s="50">
        <v>8</v>
      </c>
      <c r="B10" s="6" t="s">
        <v>155</v>
      </c>
      <c r="C10" s="231" t="s">
        <v>156</v>
      </c>
      <c r="D10" s="231"/>
      <c r="E10" s="231"/>
      <c r="F10" s="231"/>
      <c r="G10" s="231"/>
      <c r="H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231"/>
      <c r="AL10" s="231"/>
    </row>
    <row r="11" spans="1:38" hidden="1" x14ac:dyDescent="0.25">
      <c r="A11" s="50">
        <v>19</v>
      </c>
      <c r="B11" s="6" t="s">
        <v>94</v>
      </c>
      <c r="C11" s="231" t="s">
        <v>154</v>
      </c>
      <c r="D11" s="231"/>
      <c r="E11" s="231"/>
      <c r="F11" s="231"/>
      <c r="G11" s="231"/>
      <c r="H11" s="231"/>
      <c r="I11" s="231"/>
      <c r="J11" s="231"/>
      <c r="K11" s="2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c r="AK11" s="231"/>
      <c r="AL11" s="231"/>
    </row>
    <row r="12" spans="1:38" ht="30" hidden="1" x14ac:dyDescent="0.25">
      <c r="A12" s="50">
        <v>3</v>
      </c>
      <c r="B12" s="91" t="s">
        <v>97</v>
      </c>
      <c r="C12" s="231" t="s">
        <v>95</v>
      </c>
      <c r="D12" s="231"/>
      <c r="E12" s="231"/>
      <c r="F12" s="231"/>
      <c r="G12" s="231"/>
      <c r="H12" s="231"/>
      <c r="I12" s="231"/>
      <c r="J12" s="231"/>
      <c r="K12" s="231"/>
      <c r="L12" s="231"/>
      <c r="M12" s="231"/>
      <c r="N12" s="231"/>
      <c r="O12" s="231"/>
      <c r="P12" s="231"/>
      <c r="Q12" s="231"/>
      <c r="R12" s="231"/>
      <c r="S12" s="231"/>
      <c r="T12" s="231"/>
      <c r="U12" s="231"/>
      <c r="V12" s="231"/>
      <c r="W12" s="231"/>
      <c r="X12" s="231"/>
      <c r="Y12" s="231"/>
      <c r="Z12" s="231"/>
      <c r="AA12" s="231"/>
      <c r="AB12" s="231"/>
      <c r="AC12" s="231"/>
      <c r="AD12" s="231"/>
      <c r="AE12" s="231"/>
      <c r="AF12" s="231"/>
      <c r="AG12" s="231"/>
      <c r="AH12" s="231"/>
      <c r="AI12" s="231"/>
      <c r="AJ12" s="231"/>
      <c r="AK12" s="231"/>
      <c r="AL12" s="231"/>
    </row>
    <row r="13" spans="1:38" ht="13.9" customHeight="1" x14ac:dyDescent="0.25">
      <c r="L13" s="151"/>
      <c r="R13" s="83">
        <v>1000000</v>
      </c>
      <c r="T13" s="83"/>
      <c r="U13" s="83"/>
      <c r="V13" s="83">
        <v>1000000</v>
      </c>
      <c r="W13" s="83">
        <v>1000000</v>
      </c>
      <c r="Y13" s="83"/>
      <c r="Z13" s="83"/>
      <c r="AA13" s="83"/>
      <c r="AB13" s="83">
        <v>1000000</v>
      </c>
      <c r="AF13" s="83"/>
      <c r="AG13" s="83">
        <v>1000000</v>
      </c>
    </row>
    <row r="14" spans="1:38" s="10" customFormat="1" ht="27" customHeight="1" x14ac:dyDescent="0.25">
      <c r="A14" s="202" t="s">
        <v>2</v>
      </c>
      <c r="B14" s="196" t="s">
        <v>3</v>
      </c>
      <c r="C14" s="235" t="s">
        <v>86</v>
      </c>
      <c r="D14" s="196" t="s">
        <v>66</v>
      </c>
      <c r="E14" s="235" t="s">
        <v>167</v>
      </c>
      <c r="F14" s="199" t="s">
        <v>100</v>
      </c>
      <c r="G14" s="245" t="s">
        <v>89</v>
      </c>
      <c r="H14" s="192" t="s">
        <v>168</v>
      </c>
      <c r="I14" s="9"/>
      <c r="J14" s="192">
        <v>2020</v>
      </c>
      <c r="K14" s="192"/>
      <c r="L14" s="192"/>
      <c r="M14" s="192"/>
      <c r="N14" s="9"/>
      <c r="O14" s="192">
        <v>2021</v>
      </c>
      <c r="P14" s="192"/>
      <c r="Q14" s="192"/>
      <c r="R14" s="192"/>
      <c r="T14" s="192">
        <v>2022</v>
      </c>
      <c r="U14" s="192"/>
      <c r="V14" s="192"/>
      <c r="W14" s="192"/>
      <c r="Y14" s="192">
        <v>2023</v>
      </c>
      <c r="Z14" s="192"/>
      <c r="AA14" s="192"/>
      <c r="AB14" s="192"/>
      <c r="AD14" s="213">
        <v>2024</v>
      </c>
      <c r="AE14" s="214"/>
      <c r="AF14" s="214"/>
      <c r="AG14" s="214"/>
      <c r="AI14" s="246" t="s">
        <v>101</v>
      </c>
      <c r="AJ14" s="246"/>
      <c r="AK14" s="246"/>
      <c r="AL14" s="246"/>
    </row>
    <row r="15" spans="1:38" s="10" customFormat="1" ht="16.5" customHeight="1" x14ac:dyDescent="0.25">
      <c r="A15" s="203"/>
      <c r="B15" s="197"/>
      <c r="C15" s="200"/>
      <c r="D15" s="197"/>
      <c r="E15" s="200"/>
      <c r="F15" s="200"/>
      <c r="G15" s="245"/>
      <c r="H15" s="192"/>
      <c r="I15" s="9"/>
      <c r="J15" s="192" t="s">
        <v>4</v>
      </c>
      <c r="K15" s="192"/>
      <c r="L15" s="192" t="s">
        <v>61</v>
      </c>
      <c r="M15" s="192"/>
      <c r="N15" s="9"/>
      <c r="O15" s="192" t="s">
        <v>6</v>
      </c>
      <c r="P15" s="192"/>
      <c r="Q15" s="192" t="s">
        <v>8</v>
      </c>
      <c r="R15" s="192"/>
      <c r="S15" s="9"/>
      <c r="T15" s="192" t="s">
        <v>7</v>
      </c>
      <c r="U15" s="192"/>
      <c r="V15" s="192" t="s">
        <v>8</v>
      </c>
      <c r="W15" s="192"/>
      <c r="Y15" s="192" t="s">
        <v>7</v>
      </c>
      <c r="Z15" s="192"/>
      <c r="AA15" s="192" t="s">
        <v>8</v>
      </c>
      <c r="AB15" s="192"/>
      <c r="AD15" s="192" t="s">
        <v>7</v>
      </c>
      <c r="AE15" s="192"/>
      <c r="AF15" s="192" t="s">
        <v>8</v>
      </c>
      <c r="AG15" s="192"/>
      <c r="AI15" s="235" t="s">
        <v>4</v>
      </c>
      <c r="AJ15" s="235" t="s">
        <v>65</v>
      </c>
      <c r="AK15" s="235" t="s">
        <v>8</v>
      </c>
      <c r="AL15" s="235" t="s">
        <v>5</v>
      </c>
    </row>
    <row r="16" spans="1:38" s="10" customFormat="1" ht="30" x14ac:dyDescent="0.25">
      <c r="A16" s="204"/>
      <c r="B16" s="198"/>
      <c r="C16" s="236"/>
      <c r="D16" s="198"/>
      <c r="E16" s="236"/>
      <c r="F16" s="201"/>
      <c r="G16" s="245"/>
      <c r="H16" s="192"/>
      <c r="I16" s="11"/>
      <c r="J16" s="61" t="s">
        <v>59</v>
      </c>
      <c r="K16" s="61" t="s">
        <v>60</v>
      </c>
      <c r="L16" s="152" t="s">
        <v>63</v>
      </c>
      <c r="M16" s="61" t="s">
        <v>62</v>
      </c>
      <c r="N16" s="11"/>
      <c r="O16" s="153" t="s">
        <v>59</v>
      </c>
      <c r="P16" s="61" t="s">
        <v>60</v>
      </c>
      <c r="Q16" s="152" t="s">
        <v>63</v>
      </c>
      <c r="R16" s="61" t="s">
        <v>62</v>
      </c>
      <c r="S16" s="9"/>
      <c r="T16" s="153" t="s">
        <v>59</v>
      </c>
      <c r="U16" s="61" t="s">
        <v>60</v>
      </c>
      <c r="V16" s="152" t="s">
        <v>63</v>
      </c>
      <c r="W16" s="61" t="s">
        <v>62</v>
      </c>
      <c r="Y16" s="61" t="s">
        <v>59</v>
      </c>
      <c r="Z16" s="61" t="s">
        <v>60</v>
      </c>
      <c r="AA16" s="61" t="s">
        <v>63</v>
      </c>
      <c r="AB16" s="61" t="s">
        <v>62</v>
      </c>
      <c r="AD16" s="61" t="s">
        <v>59</v>
      </c>
      <c r="AE16" s="61" t="s">
        <v>60</v>
      </c>
      <c r="AF16" s="61" t="s">
        <v>63</v>
      </c>
      <c r="AG16" s="61" t="s">
        <v>62</v>
      </c>
      <c r="AI16" s="236"/>
      <c r="AJ16" s="236"/>
      <c r="AK16" s="236"/>
      <c r="AL16" s="236"/>
    </row>
    <row r="17" spans="1:38" ht="75.75" customHeight="1" x14ac:dyDescent="0.25">
      <c r="A17" s="243" t="s">
        <v>98</v>
      </c>
      <c r="B17" s="208" t="s">
        <v>99</v>
      </c>
      <c r="C17" s="208" t="s">
        <v>88</v>
      </c>
      <c r="D17" s="208" t="s">
        <v>149</v>
      </c>
      <c r="E17" s="238" t="str">
        <f>C10</f>
        <v xml:space="preserve">Aumentar el acceso a vivienda digna, espacio público y equipamientos de la población vulnerable en suelo urbano y rural </v>
      </c>
      <c r="F17" s="100" t="s">
        <v>158</v>
      </c>
      <c r="G17" s="100" t="s">
        <v>103</v>
      </c>
      <c r="H17" s="241" t="str">
        <f>C12</f>
        <v>Sistema Distrital de Cuidado</v>
      </c>
      <c r="I17" s="13"/>
      <c r="J17" s="92">
        <v>0.05</v>
      </c>
      <c r="K17" s="92">
        <v>0.05</v>
      </c>
      <c r="L17" s="109"/>
      <c r="M17" s="94"/>
      <c r="N17" s="15"/>
      <c r="O17" s="96">
        <v>0.3</v>
      </c>
      <c r="P17" s="133" t="s">
        <v>174</v>
      </c>
      <c r="Q17" s="94"/>
      <c r="R17" s="94"/>
      <c r="T17" s="154">
        <v>0.65</v>
      </c>
      <c r="U17" s="154">
        <v>0.63460000000000005</v>
      </c>
      <c r="V17" s="155"/>
      <c r="W17" s="156"/>
      <c r="X17" s="87"/>
      <c r="Y17" s="163">
        <v>0.9</v>
      </c>
      <c r="Z17" s="161">
        <v>0.79210000000000003</v>
      </c>
      <c r="AA17" s="155"/>
      <c r="AB17" s="156"/>
      <c r="AC17" s="87"/>
      <c r="AD17" s="98">
        <v>1</v>
      </c>
      <c r="AE17" s="130">
        <v>0.80459999999999998</v>
      </c>
      <c r="AF17" s="155"/>
      <c r="AG17" s="156"/>
      <c r="AI17" s="98">
        <f>AD17</f>
        <v>1</v>
      </c>
      <c r="AJ17" s="130">
        <f>+AE17</f>
        <v>0.80459999999999998</v>
      </c>
      <c r="AK17" s="99">
        <f t="shared" ref="AK17:AL21" si="0">L17+Q17+V17+AA17+AF17</f>
        <v>0</v>
      </c>
      <c r="AL17" s="99">
        <f t="shared" si="0"/>
        <v>0</v>
      </c>
    </row>
    <row r="18" spans="1:38" ht="90" x14ac:dyDescent="0.25">
      <c r="A18" s="244"/>
      <c r="B18" s="209"/>
      <c r="C18" s="209"/>
      <c r="D18" s="209"/>
      <c r="E18" s="239"/>
      <c r="F18" s="12" t="s">
        <v>104</v>
      </c>
      <c r="G18" s="12" t="s">
        <v>169</v>
      </c>
      <c r="H18" s="242"/>
      <c r="I18" s="13"/>
      <c r="J18" s="14">
        <v>20</v>
      </c>
      <c r="K18" s="14">
        <v>20</v>
      </c>
      <c r="L18" s="110">
        <v>1562.1521029999999</v>
      </c>
      <c r="M18" s="27">
        <v>1072.7394810000001</v>
      </c>
      <c r="N18" s="15"/>
      <c r="O18" s="82">
        <v>280</v>
      </c>
      <c r="P18" s="14">
        <v>280</v>
      </c>
      <c r="Q18" s="27">
        <f>4680171442/L1</f>
        <v>4680.1714419999998</v>
      </c>
      <c r="R18" s="57">
        <f>4544842307/L1</f>
        <v>4544.8423069999999</v>
      </c>
      <c r="T18" s="157">
        <v>565</v>
      </c>
      <c r="U18" s="157">
        <v>536</v>
      </c>
      <c r="V18" s="27">
        <f>4974978666/L1</f>
        <v>4974.978666</v>
      </c>
      <c r="W18" s="57">
        <f>4964166750/L1</f>
        <v>4964.1667500000003</v>
      </c>
      <c r="X18" s="87"/>
      <c r="Y18" s="82">
        <v>493</v>
      </c>
      <c r="Z18" s="157">
        <v>493</v>
      </c>
      <c r="AA18" s="182">
        <f>7030769613/L1</f>
        <v>7030.7696130000004</v>
      </c>
      <c r="AB18" s="158">
        <f>6922849655/L1</f>
        <v>6922.849655</v>
      </c>
      <c r="AC18" s="87"/>
      <c r="AD18" s="82">
        <v>0</v>
      </c>
      <c r="AE18" s="82">
        <v>0</v>
      </c>
      <c r="AF18" s="27">
        <v>0</v>
      </c>
      <c r="AG18" s="158">
        <v>0</v>
      </c>
      <c r="AI18" s="82">
        <f>J18+O18+T18+Y18+AD18-29</f>
        <v>1329</v>
      </c>
      <c r="AJ18" s="82">
        <f t="shared" ref="AI18:AJ21" si="1">K18+P18+U18+Z18+AE18</f>
        <v>1329</v>
      </c>
      <c r="AK18" s="56">
        <f t="shared" si="0"/>
        <v>18248.071823999999</v>
      </c>
      <c r="AL18" s="56">
        <f t="shared" si="0"/>
        <v>17504.598192999998</v>
      </c>
    </row>
    <row r="19" spans="1:38" ht="75" x14ac:dyDescent="0.25">
      <c r="A19" s="244"/>
      <c r="B19" s="209"/>
      <c r="C19" s="209"/>
      <c r="D19" s="209"/>
      <c r="E19" s="239"/>
      <c r="F19" s="12" t="s">
        <v>105</v>
      </c>
      <c r="G19" s="12" t="s">
        <v>106</v>
      </c>
      <c r="H19" s="242"/>
      <c r="I19" s="13"/>
      <c r="J19" s="14">
        <v>0</v>
      </c>
      <c r="K19" s="14">
        <v>0</v>
      </c>
      <c r="L19" s="110">
        <v>0</v>
      </c>
      <c r="M19" s="27"/>
      <c r="N19" s="15"/>
      <c r="O19" s="82">
        <v>0</v>
      </c>
      <c r="P19" s="14">
        <v>0</v>
      </c>
      <c r="Q19" s="27">
        <f>1456900000/L1</f>
        <v>1456.9</v>
      </c>
      <c r="R19" s="27">
        <f>1454454730/L1</f>
        <v>1454.4547299999999</v>
      </c>
      <c r="T19" s="157">
        <v>546</v>
      </c>
      <c r="U19" s="157">
        <v>546</v>
      </c>
      <c r="V19" s="27">
        <f>6858418529/L1</f>
        <v>6858.4185289999996</v>
      </c>
      <c r="W19" s="27">
        <f>6833220789/L1</f>
        <v>6833.220789</v>
      </c>
      <c r="X19" s="87"/>
      <c r="Y19" s="82">
        <v>519</v>
      </c>
      <c r="Z19" s="157">
        <v>519</v>
      </c>
      <c r="AA19" s="27">
        <f>7549126108/L1</f>
        <v>7549.1261080000004</v>
      </c>
      <c r="AB19" s="158">
        <f>7519203660/L1</f>
        <v>7519.2036600000001</v>
      </c>
      <c r="AC19" s="87"/>
      <c r="AD19" s="82">
        <v>185</v>
      </c>
      <c r="AE19" s="82">
        <v>0</v>
      </c>
      <c r="AF19" s="27">
        <f>2762397500/L1</f>
        <v>2762.3975</v>
      </c>
      <c r="AG19" s="159">
        <f>443573788/L1</f>
        <v>443.57378799999998</v>
      </c>
      <c r="AI19" s="82">
        <f t="shared" si="1"/>
        <v>1250</v>
      </c>
      <c r="AJ19" s="82">
        <f t="shared" si="1"/>
        <v>1065</v>
      </c>
      <c r="AK19" s="56">
        <f t="shared" si="0"/>
        <v>18626.842137</v>
      </c>
      <c r="AL19" s="56">
        <f t="shared" si="0"/>
        <v>16250.452966999999</v>
      </c>
    </row>
    <row r="20" spans="1:38" ht="49.5" customHeight="1" x14ac:dyDescent="0.25">
      <c r="A20" s="244"/>
      <c r="B20" s="209"/>
      <c r="C20" s="209"/>
      <c r="D20" s="209"/>
      <c r="E20" s="239"/>
      <c r="F20" s="12" t="s">
        <v>173</v>
      </c>
      <c r="G20" s="12" t="s">
        <v>106</v>
      </c>
      <c r="H20" s="242"/>
      <c r="I20" s="13"/>
      <c r="J20" s="14">
        <v>0</v>
      </c>
      <c r="K20" s="14">
        <v>0</v>
      </c>
      <c r="L20" s="110">
        <v>0</v>
      </c>
      <c r="M20" s="27"/>
      <c r="N20" s="15"/>
      <c r="O20" s="82">
        <v>406</v>
      </c>
      <c r="P20" s="82">
        <v>406</v>
      </c>
      <c r="Q20" s="27">
        <f>165096800/L1</f>
        <v>165.0968</v>
      </c>
      <c r="R20" s="27">
        <f>123822600/L1</f>
        <v>123.82259999999999</v>
      </c>
      <c r="T20" s="157">
        <v>1647</v>
      </c>
      <c r="U20" s="157">
        <v>1647</v>
      </c>
      <c r="V20" s="27">
        <f>162794289/L1</f>
        <v>162.79428899999999</v>
      </c>
      <c r="W20" s="27">
        <f>158517729/L1</f>
        <v>158.517729</v>
      </c>
      <c r="X20" s="87"/>
      <c r="Y20" s="82">
        <v>1576</v>
      </c>
      <c r="Z20" s="157">
        <v>1576</v>
      </c>
      <c r="AA20" s="27">
        <f>553820000/L1</f>
        <v>553.82000000000005</v>
      </c>
      <c r="AB20" s="158">
        <f>490920000/L1</f>
        <v>490.92</v>
      </c>
      <c r="AC20" s="87"/>
      <c r="AD20" s="82">
        <v>1371</v>
      </c>
      <c r="AE20" s="82">
        <v>75</v>
      </c>
      <c r="AF20" s="27">
        <f>2743550000/L1</f>
        <v>2743.55</v>
      </c>
      <c r="AG20" s="159">
        <f>950623910/L1</f>
        <v>950.62391000000002</v>
      </c>
      <c r="AI20" s="82">
        <f t="shared" si="1"/>
        <v>5000</v>
      </c>
      <c r="AJ20" s="82">
        <f t="shared" si="1"/>
        <v>3704</v>
      </c>
      <c r="AK20" s="56">
        <f t="shared" si="0"/>
        <v>3625.2610890000001</v>
      </c>
      <c r="AL20" s="56">
        <f t="shared" si="0"/>
        <v>1723.884239</v>
      </c>
    </row>
    <row r="21" spans="1:38" ht="49.5" customHeight="1" x14ac:dyDescent="0.25">
      <c r="A21" s="244"/>
      <c r="B21" s="209"/>
      <c r="C21" s="209"/>
      <c r="D21" s="209"/>
      <c r="E21" s="239"/>
      <c r="F21" s="12" t="s">
        <v>177</v>
      </c>
      <c r="G21" s="12"/>
      <c r="H21" s="242"/>
      <c r="I21" s="13"/>
      <c r="J21" s="14"/>
      <c r="K21" s="14"/>
      <c r="L21" s="110"/>
      <c r="M21" s="27"/>
      <c r="N21" s="15"/>
      <c r="O21" s="82"/>
      <c r="P21" s="82"/>
      <c r="Q21" s="27"/>
      <c r="R21" s="27"/>
      <c r="T21" s="82">
        <v>58</v>
      </c>
      <c r="U21" s="157">
        <v>58</v>
      </c>
      <c r="V21" s="27">
        <f>27483586/L1</f>
        <v>27.483585999999999</v>
      </c>
      <c r="W21" s="57">
        <f>15651770/L1</f>
        <v>15.651770000000001</v>
      </c>
      <c r="X21" s="87"/>
      <c r="Y21" s="82">
        <v>56</v>
      </c>
      <c r="Z21" s="157">
        <v>56</v>
      </c>
      <c r="AA21" s="27">
        <f>68000000/L1</f>
        <v>68</v>
      </c>
      <c r="AB21" s="158">
        <f>68000000/L1</f>
        <v>68</v>
      </c>
      <c r="AC21" s="87"/>
      <c r="AD21" s="82">
        <v>1136</v>
      </c>
      <c r="AE21" s="82">
        <v>75</v>
      </c>
      <c r="AF21" s="27">
        <f>580000000/L1</f>
        <v>580</v>
      </c>
      <c r="AG21" s="159">
        <f>171660800/L1</f>
        <v>171.66079999999999</v>
      </c>
      <c r="AI21" s="82">
        <f t="shared" si="1"/>
        <v>1250</v>
      </c>
      <c r="AJ21" s="82">
        <f t="shared" si="1"/>
        <v>189</v>
      </c>
      <c r="AK21" s="56">
        <f t="shared" si="0"/>
        <v>675.48358600000006</v>
      </c>
      <c r="AL21" s="56">
        <f t="shared" si="0"/>
        <v>255.31256999999999</v>
      </c>
    </row>
    <row r="22" spans="1:38" ht="68.25" customHeight="1" x14ac:dyDescent="0.25">
      <c r="A22" s="244"/>
      <c r="B22" s="209"/>
      <c r="C22" s="209"/>
      <c r="D22" s="209"/>
      <c r="E22" s="239"/>
      <c r="F22" s="12" t="s">
        <v>189</v>
      </c>
      <c r="G22" s="12"/>
      <c r="H22" s="242"/>
      <c r="I22" s="13"/>
      <c r="J22" s="88"/>
      <c r="K22" s="88"/>
      <c r="L22" s="112"/>
      <c r="M22" s="27"/>
      <c r="N22" s="15"/>
      <c r="O22" s="82"/>
      <c r="P22" s="82"/>
      <c r="Q22" s="27"/>
      <c r="R22" s="27"/>
      <c r="T22" s="82"/>
      <c r="U22" s="157"/>
      <c r="V22" s="27"/>
      <c r="W22" s="57"/>
      <c r="X22" s="87"/>
      <c r="Y22" s="82"/>
      <c r="Z22" s="157"/>
      <c r="AA22" s="27"/>
      <c r="AB22" s="158"/>
      <c r="AC22" s="87"/>
      <c r="AD22" s="82">
        <v>250</v>
      </c>
      <c r="AE22" s="82">
        <v>3</v>
      </c>
      <c r="AF22" s="27">
        <f xml:space="preserve">  2561412900 /L1</f>
        <v>2561.4128999999998</v>
      </c>
      <c r="AG22" s="159">
        <f xml:space="preserve">  1214780350 /L1</f>
        <v>1214.78035</v>
      </c>
      <c r="AI22" s="82">
        <f>+AD22</f>
        <v>250</v>
      </c>
      <c r="AJ22" s="82">
        <f>+AE22</f>
        <v>3</v>
      </c>
      <c r="AK22" s="56">
        <f>+AF22</f>
        <v>2561.4128999999998</v>
      </c>
      <c r="AL22" s="56">
        <f>+AG22</f>
        <v>1214.78035</v>
      </c>
    </row>
    <row r="23" spans="1:38" ht="75.75" customHeight="1" x14ac:dyDescent="0.25">
      <c r="A23" s="244"/>
      <c r="B23" s="209"/>
      <c r="C23" s="209"/>
      <c r="D23" s="209"/>
      <c r="E23" s="239"/>
      <c r="F23" s="12" t="s">
        <v>157</v>
      </c>
      <c r="G23" s="12" t="s">
        <v>107</v>
      </c>
      <c r="H23" s="242"/>
      <c r="I23" s="13"/>
      <c r="J23" s="184">
        <v>0.3</v>
      </c>
      <c r="K23" s="184">
        <v>0.3</v>
      </c>
      <c r="L23" s="112"/>
      <c r="M23" s="27"/>
      <c r="N23" s="15"/>
      <c r="O23" s="24">
        <v>0.7</v>
      </c>
      <c r="P23" s="121">
        <v>0.67200000000000004</v>
      </c>
      <c r="Q23" s="27"/>
      <c r="R23" s="27"/>
      <c r="T23" s="162">
        <v>0.9</v>
      </c>
      <c r="U23" s="162">
        <v>1</v>
      </c>
      <c r="V23" s="170"/>
      <c r="W23" s="158"/>
      <c r="X23" s="87"/>
      <c r="Y23" s="162">
        <v>0.95</v>
      </c>
      <c r="Z23" s="162">
        <v>0.94099999999999995</v>
      </c>
      <c r="AA23" s="170"/>
      <c r="AB23" s="158"/>
      <c r="AC23" s="87"/>
      <c r="AD23" s="89">
        <v>1</v>
      </c>
      <c r="AE23" s="89">
        <v>0.95247000000000004</v>
      </c>
      <c r="AF23" s="170"/>
      <c r="AG23" s="158"/>
      <c r="AI23" s="89">
        <f>AD23</f>
        <v>1</v>
      </c>
      <c r="AJ23" s="89">
        <f>+AE23</f>
        <v>0.95247000000000004</v>
      </c>
      <c r="AK23" s="56">
        <f t="shared" ref="AJ23:AL24" si="2">L23+Q23+V23+AA23+AF23</f>
        <v>0</v>
      </c>
      <c r="AL23" s="56">
        <f t="shared" si="2"/>
        <v>0</v>
      </c>
    </row>
    <row r="24" spans="1:38" ht="75.75" customHeight="1" x14ac:dyDescent="0.25">
      <c r="A24" s="244"/>
      <c r="B24" s="209"/>
      <c r="C24" s="209"/>
      <c r="D24" s="209"/>
      <c r="E24" s="239"/>
      <c r="F24" s="100" t="s">
        <v>157</v>
      </c>
      <c r="G24" s="100" t="s">
        <v>170</v>
      </c>
      <c r="H24" s="242"/>
      <c r="I24" s="13"/>
      <c r="J24" s="92">
        <v>1</v>
      </c>
      <c r="K24" s="92">
        <v>1</v>
      </c>
      <c r="L24" s="109"/>
      <c r="M24" s="94"/>
      <c r="N24" s="95"/>
      <c r="O24" s="98">
        <v>0</v>
      </c>
      <c r="P24" s="130">
        <v>0</v>
      </c>
      <c r="Q24" s="94"/>
      <c r="R24" s="94"/>
      <c r="S24" s="160"/>
      <c r="T24" s="154">
        <v>0</v>
      </c>
      <c r="U24" s="154">
        <v>0</v>
      </c>
      <c r="V24" s="155"/>
      <c r="W24" s="156"/>
      <c r="X24" s="97"/>
      <c r="Y24" s="154">
        <v>0</v>
      </c>
      <c r="Z24" s="154">
        <v>0</v>
      </c>
      <c r="AA24" s="155"/>
      <c r="AB24" s="156"/>
      <c r="AC24" s="97"/>
      <c r="AD24" s="98">
        <v>0</v>
      </c>
      <c r="AE24" s="98">
        <v>0</v>
      </c>
      <c r="AF24" s="155"/>
      <c r="AG24" s="156"/>
      <c r="AH24" s="160"/>
      <c r="AI24" s="98">
        <f>J24+O24+T24+Y24+AD24</f>
        <v>1</v>
      </c>
      <c r="AJ24" s="98">
        <f t="shared" si="2"/>
        <v>1</v>
      </c>
      <c r="AK24" s="99">
        <f t="shared" si="2"/>
        <v>0</v>
      </c>
      <c r="AL24" s="99">
        <f t="shared" si="2"/>
        <v>0</v>
      </c>
    </row>
    <row r="25" spans="1:38" ht="60" x14ac:dyDescent="0.25">
      <c r="A25" s="244"/>
      <c r="B25" s="209"/>
      <c r="C25" s="209"/>
      <c r="D25" s="209"/>
      <c r="E25" s="239"/>
      <c r="F25" s="12" t="s">
        <v>108</v>
      </c>
      <c r="G25" s="12" t="s">
        <v>109</v>
      </c>
      <c r="H25" s="242"/>
      <c r="I25" s="13"/>
      <c r="J25" s="14">
        <v>50</v>
      </c>
      <c r="K25" s="14">
        <v>50</v>
      </c>
      <c r="L25" s="110">
        <v>3103.2696059999998</v>
      </c>
      <c r="M25" s="27">
        <v>2913.9473720000001</v>
      </c>
      <c r="N25" s="15"/>
      <c r="O25" s="14">
        <v>250</v>
      </c>
      <c r="P25" s="14">
        <v>250</v>
      </c>
      <c r="Q25" s="57">
        <f>3932276784/L1</f>
        <v>3932.2767840000001</v>
      </c>
      <c r="R25" s="57">
        <f>3805545713/L1</f>
        <v>3805.545713</v>
      </c>
      <c r="T25" s="82">
        <v>500</v>
      </c>
      <c r="U25" s="157">
        <v>500</v>
      </c>
      <c r="V25" s="27">
        <f>1940129558/L1</f>
        <v>1940.1295580000001</v>
      </c>
      <c r="W25" s="57">
        <f>1927155006/L1</f>
        <v>1927.155006</v>
      </c>
      <c r="X25" s="87"/>
      <c r="Y25" s="82">
        <v>390</v>
      </c>
      <c r="Z25" s="157">
        <v>390</v>
      </c>
      <c r="AA25" s="27">
        <f>1684400713/L1</f>
        <v>1684.400713</v>
      </c>
      <c r="AB25" s="159">
        <f>1682915613/L1</f>
        <v>1682.9156129999999</v>
      </c>
      <c r="AC25" s="87"/>
      <c r="AD25" s="82">
        <v>310</v>
      </c>
      <c r="AE25" s="82">
        <v>60</v>
      </c>
      <c r="AF25" s="190">
        <f>+  1385959000 /L1</f>
        <v>1385.9590000000001</v>
      </c>
      <c r="AG25" s="159">
        <f>316089850/L1</f>
        <v>316.08985000000001</v>
      </c>
      <c r="AI25" s="82">
        <f>J25+O25+T25+Y25+AD25</f>
        <v>1500</v>
      </c>
      <c r="AJ25" s="82">
        <f>K25+P25+U25+Z25+AE25</f>
        <v>1250</v>
      </c>
      <c r="AK25" s="56">
        <f>L25+Q25+V25+AA25+AF25</f>
        <v>12046.035661</v>
      </c>
      <c r="AL25" s="56">
        <f>M25+R25+W25+AB25+AG25</f>
        <v>10645.653553999999</v>
      </c>
    </row>
    <row r="26" spans="1:38" ht="75.75" customHeight="1" x14ac:dyDescent="0.25">
      <c r="A26" s="244"/>
      <c r="B26" s="209"/>
      <c r="C26" s="209"/>
      <c r="D26" s="209"/>
      <c r="E26" s="239"/>
      <c r="F26" s="100" t="s">
        <v>159</v>
      </c>
      <c r="G26" s="100" t="s">
        <v>110</v>
      </c>
      <c r="H26" s="242"/>
      <c r="I26" s="13"/>
      <c r="J26" s="92">
        <v>0.2</v>
      </c>
      <c r="K26" s="92">
        <v>0.2</v>
      </c>
      <c r="L26" s="109"/>
      <c r="M26" s="94"/>
      <c r="N26" s="95"/>
      <c r="O26" s="96">
        <v>0.45</v>
      </c>
      <c r="P26" s="134">
        <v>0.40749999999999997</v>
      </c>
      <c r="Q26" s="94"/>
      <c r="R26" s="94"/>
      <c r="S26" s="160"/>
      <c r="T26" s="154">
        <v>0.8</v>
      </c>
      <c r="U26" s="161">
        <v>0.7843</v>
      </c>
      <c r="V26" s="155"/>
      <c r="W26" s="156"/>
      <c r="X26" s="97"/>
      <c r="Y26" s="154">
        <v>0.9</v>
      </c>
      <c r="Z26" s="154">
        <v>0.8881</v>
      </c>
      <c r="AA26" s="27"/>
      <c r="AB26" s="156"/>
      <c r="AC26" s="97"/>
      <c r="AD26" s="98">
        <v>1</v>
      </c>
      <c r="AE26" s="98">
        <v>0.91110000000000002</v>
      </c>
      <c r="AF26" s="27"/>
      <c r="AG26" s="156"/>
      <c r="AH26" s="160"/>
      <c r="AI26" s="98">
        <f>+AD26</f>
        <v>1</v>
      </c>
      <c r="AJ26" s="130">
        <f>+AE26</f>
        <v>0.91110000000000002</v>
      </c>
      <c r="AK26" s="99">
        <f>L26+Q26+V26+AA26+AF26</f>
        <v>0</v>
      </c>
      <c r="AL26" s="99">
        <f>M26+R26+W26+AB26+AG26</f>
        <v>0</v>
      </c>
    </row>
    <row r="27" spans="1:38" ht="75" x14ac:dyDescent="0.25">
      <c r="A27" s="244"/>
      <c r="B27" s="210"/>
      <c r="C27" s="210"/>
      <c r="D27" s="210"/>
      <c r="E27" s="240"/>
      <c r="F27" s="12" t="s">
        <v>111</v>
      </c>
      <c r="G27" s="12" t="s">
        <v>110</v>
      </c>
      <c r="H27" s="242"/>
      <c r="I27" s="13"/>
      <c r="J27" s="24">
        <v>0.2</v>
      </c>
      <c r="K27" s="89">
        <v>0.2</v>
      </c>
      <c r="L27" s="110">
        <f>80000000/L1</f>
        <v>80</v>
      </c>
      <c r="M27" s="27">
        <v>37.799999999999997</v>
      </c>
      <c r="N27" s="15"/>
      <c r="O27" s="24">
        <v>0.45</v>
      </c>
      <c r="P27" s="131">
        <v>0.40749999999999997</v>
      </c>
      <c r="Q27" s="27">
        <f>2986400000/L1</f>
        <v>2986.4</v>
      </c>
      <c r="R27" s="27">
        <f>2978800000/L1</f>
        <v>2978.8</v>
      </c>
      <c r="T27" s="162">
        <v>0.8</v>
      </c>
      <c r="U27" s="163">
        <v>0.7843</v>
      </c>
      <c r="V27" s="27">
        <f>836195372/L1</f>
        <v>836.19537200000002</v>
      </c>
      <c r="W27" s="57">
        <f>832393880/L1</f>
        <v>832.39387999999997</v>
      </c>
      <c r="X27" s="87"/>
      <c r="Y27" s="162">
        <v>0.9</v>
      </c>
      <c r="Z27" s="162">
        <f>+Z26</f>
        <v>0.8881</v>
      </c>
      <c r="AA27" s="27">
        <f>3053883566/L1</f>
        <v>3053.883566</v>
      </c>
      <c r="AB27" s="158">
        <f>3050302900/L1</f>
        <v>3050.3029000000001</v>
      </c>
      <c r="AC27" s="87"/>
      <c r="AD27" s="89">
        <v>1</v>
      </c>
      <c r="AE27" s="89">
        <v>0.91049999999999998</v>
      </c>
      <c r="AF27" s="27">
        <f>1358188600/L1</f>
        <v>1358.1886</v>
      </c>
      <c r="AG27" s="158">
        <f>34844400/L1</f>
        <v>34.8444</v>
      </c>
      <c r="AI27" s="89">
        <f>AD27</f>
        <v>1</v>
      </c>
      <c r="AJ27" s="107">
        <f>+AE27</f>
        <v>0.91049999999999998</v>
      </c>
      <c r="AK27" s="56">
        <f>L27+Q27+V27+AA27+AF27</f>
        <v>8314.6675379999997</v>
      </c>
      <c r="AL27" s="56">
        <f>M27+R27+W27+AB27+AG27</f>
        <v>6934.1411800000005</v>
      </c>
    </row>
    <row r="28" spans="1:38" s="6" customFormat="1" ht="15.75" x14ac:dyDescent="0.25">
      <c r="A28" s="164"/>
      <c r="B28" s="62" t="s">
        <v>102</v>
      </c>
      <c r="C28" s="62"/>
      <c r="D28" s="62"/>
      <c r="E28" s="62"/>
      <c r="F28" s="37"/>
      <c r="G28" s="37"/>
      <c r="H28" s="37"/>
      <c r="I28" s="38"/>
      <c r="J28" s="39"/>
      <c r="K28" s="39"/>
      <c r="L28" s="111">
        <f>SUM(L17:L27)</f>
        <v>4745.4217090000002</v>
      </c>
      <c r="M28" s="40">
        <f>SUM(M17:M27)</f>
        <v>4024.4868530000003</v>
      </c>
      <c r="N28" s="41"/>
      <c r="O28" s="39"/>
      <c r="P28" s="39"/>
      <c r="Q28" s="40">
        <f>SUM(Q17:Q27)</f>
        <v>13220.845026000001</v>
      </c>
      <c r="R28" s="40">
        <f>SUM(R17:R27)</f>
        <v>12907.465350000002</v>
      </c>
      <c r="T28" s="39"/>
      <c r="U28" s="39"/>
      <c r="V28" s="40">
        <f>SUM(V17:V27)</f>
        <v>14800</v>
      </c>
      <c r="W28" s="40">
        <f>SUM(W17:W27)</f>
        <v>14731.105924</v>
      </c>
      <c r="Y28" s="39"/>
      <c r="Z28" s="39"/>
      <c r="AA28" s="40">
        <f>SUM(AA17:AA27)</f>
        <v>19940</v>
      </c>
      <c r="AB28" s="40">
        <f>SUM(AB17:AB27)</f>
        <v>19734.191827999999</v>
      </c>
      <c r="AD28" s="39"/>
      <c r="AE28" s="40"/>
      <c r="AF28" s="40">
        <f>SUM(AF17:AF27)</f>
        <v>11391.508</v>
      </c>
      <c r="AG28" s="40">
        <f>SUM(AG17:AG27)</f>
        <v>3131.5730979999998</v>
      </c>
      <c r="AI28" s="85"/>
      <c r="AJ28" s="85"/>
      <c r="AK28" s="58">
        <f>SUM(AK17:AK27)</f>
        <v>64097.774735000006</v>
      </c>
      <c r="AL28" s="58">
        <f>SUM(AL17:AL27)</f>
        <v>54528.823052999993</v>
      </c>
    </row>
    <row r="29" spans="1:38" s="142" customFormat="1" ht="12.75" x14ac:dyDescent="0.2">
      <c r="A29" s="144"/>
      <c r="B29" s="145"/>
      <c r="C29" s="145"/>
      <c r="D29" s="145"/>
      <c r="E29" s="145"/>
      <c r="F29" s="145"/>
      <c r="G29" s="145"/>
      <c r="H29" s="145"/>
      <c r="I29" s="146"/>
      <c r="J29" s="144"/>
      <c r="K29" s="146"/>
      <c r="L29" s="147"/>
      <c r="M29" s="146"/>
      <c r="N29" s="146"/>
      <c r="O29" s="146"/>
      <c r="P29" s="146"/>
      <c r="Q29" s="146"/>
      <c r="R29" s="146"/>
      <c r="T29" s="148"/>
      <c r="U29" s="148"/>
      <c r="V29" s="148"/>
      <c r="W29" s="148"/>
      <c r="Y29" s="148"/>
      <c r="Z29" s="148"/>
      <c r="AA29" s="148"/>
      <c r="AB29" s="148"/>
      <c r="AD29" s="146"/>
      <c r="AE29" s="146"/>
      <c r="AF29" s="148"/>
      <c r="AG29" s="148"/>
      <c r="AI29" s="149"/>
      <c r="AJ29" s="149"/>
      <c r="AK29" s="149"/>
      <c r="AL29" s="150"/>
    </row>
    <row r="30" spans="1:38" s="143" customFormat="1" ht="15.75" customHeight="1" x14ac:dyDescent="0.2">
      <c r="A30" s="237"/>
      <c r="B30" s="237"/>
      <c r="C30" s="237"/>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row>
    <row r="31" spans="1:38" s="142" customFormat="1" ht="12.75" x14ac:dyDescent="0.2">
      <c r="A31" s="144"/>
      <c r="B31" s="145"/>
      <c r="C31" s="145"/>
      <c r="D31" s="145"/>
      <c r="E31" s="145"/>
      <c r="F31" s="145"/>
      <c r="G31" s="145"/>
      <c r="H31" s="145"/>
      <c r="I31" s="146"/>
      <c r="J31" s="144"/>
      <c r="K31" s="146"/>
      <c r="L31" s="147"/>
      <c r="M31" s="146"/>
      <c r="N31" s="146"/>
      <c r="O31" s="146"/>
      <c r="P31" s="146"/>
      <c r="Q31" s="146"/>
      <c r="R31" s="146"/>
      <c r="T31" s="148"/>
      <c r="U31" s="148"/>
      <c r="V31" s="148"/>
      <c r="W31" s="148"/>
      <c r="Y31" s="148"/>
      <c r="Z31" s="148"/>
      <c r="AA31" s="148"/>
      <c r="AB31" s="148"/>
      <c r="AD31" s="146"/>
      <c r="AE31" s="146"/>
      <c r="AF31" s="148"/>
      <c r="AG31" s="148"/>
      <c r="AI31" s="149"/>
      <c r="AJ31" s="149"/>
      <c r="AK31" s="149"/>
      <c r="AL31" s="150"/>
    </row>
    <row r="32" spans="1:38" x14ac:dyDescent="0.25">
      <c r="A32" s="101">
        <v>1</v>
      </c>
      <c r="B32" s="90" t="s">
        <v>93</v>
      </c>
      <c r="C32" s="231" t="s">
        <v>112</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1"/>
    </row>
    <row r="33" spans="1:38" x14ac:dyDescent="0.25">
      <c r="A33" s="50">
        <v>8</v>
      </c>
      <c r="B33" s="6" t="s">
        <v>155</v>
      </c>
      <c r="C33" s="231" t="s">
        <v>156</v>
      </c>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row>
    <row r="34" spans="1:38" x14ac:dyDescent="0.25">
      <c r="A34" s="50">
        <v>19</v>
      </c>
      <c r="B34" s="6" t="s">
        <v>94</v>
      </c>
      <c r="C34" s="231" t="s">
        <v>154</v>
      </c>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231"/>
    </row>
    <row r="35" spans="1:38" ht="30" x14ac:dyDescent="0.25">
      <c r="A35" s="50">
        <v>3</v>
      </c>
      <c r="B35" s="91" t="s">
        <v>97</v>
      </c>
      <c r="C35" s="231" t="s">
        <v>113</v>
      </c>
      <c r="D35" s="231"/>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row>
    <row r="36" spans="1:38" x14ac:dyDescent="0.25">
      <c r="L36" s="151"/>
      <c r="V36" s="165"/>
      <c r="W36" s="165"/>
      <c r="AA36" s="165"/>
      <c r="AB36" s="165"/>
      <c r="AF36" s="165"/>
      <c r="AG36" s="165"/>
      <c r="AK36" s="86"/>
    </row>
    <row r="37" spans="1:38" s="10" customFormat="1" ht="27" customHeight="1" x14ac:dyDescent="0.25">
      <c r="A37" s="202" t="s">
        <v>2</v>
      </c>
      <c r="B37" s="196" t="s">
        <v>3</v>
      </c>
      <c r="C37" s="235" t="s">
        <v>86</v>
      </c>
      <c r="D37" s="196" t="s">
        <v>66</v>
      </c>
      <c r="E37" s="235" t="s">
        <v>167</v>
      </c>
      <c r="F37" s="199" t="s">
        <v>100</v>
      </c>
      <c r="G37" s="245" t="s">
        <v>89</v>
      </c>
      <c r="H37" s="192" t="s">
        <v>168</v>
      </c>
      <c r="I37" s="9"/>
      <c r="J37" s="192">
        <v>2020</v>
      </c>
      <c r="K37" s="192"/>
      <c r="L37" s="192"/>
      <c r="M37" s="192"/>
      <c r="N37" s="9"/>
      <c r="O37" s="192">
        <v>2021</v>
      </c>
      <c r="P37" s="192"/>
      <c r="Q37" s="192"/>
      <c r="R37" s="192"/>
      <c r="T37" s="192">
        <v>2022</v>
      </c>
      <c r="U37" s="192"/>
      <c r="V37" s="192"/>
      <c r="W37" s="192"/>
      <c r="Y37" s="192">
        <v>2023</v>
      </c>
      <c r="Z37" s="192"/>
      <c r="AA37" s="192"/>
      <c r="AB37" s="192"/>
      <c r="AD37" s="213">
        <v>2024</v>
      </c>
      <c r="AE37" s="214"/>
      <c r="AF37" s="214"/>
      <c r="AG37" s="214"/>
      <c r="AI37" s="246" t="s">
        <v>101</v>
      </c>
      <c r="AJ37" s="246"/>
      <c r="AK37" s="246"/>
      <c r="AL37" s="246"/>
    </row>
    <row r="38" spans="1:38" s="10" customFormat="1" ht="16.5" customHeight="1" x14ac:dyDescent="0.25">
      <c r="A38" s="203"/>
      <c r="B38" s="197"/>
      <c r="C38" s="200"/>
      <c r="D38" s="197"/>
      <c r="E38" s="200"/>
      <c r="F38" s="200"/>
      <c r="G38" s="245"/>
      <c r="H38" s="192"/>
      <c r="I38" s="9"/>
      <c r="J38" s="192" t="s">
        <v>4</v>
      </c>
      <c r="K38" s="192"/>
      <c r="L38" s="192" t="s">
        <v>61</v>
      </c>
      <c r="M38" s="192"/>
      <c r="N38" s="9"/>
      <c r="O38" s="192" t="s">
        <v>6</v>
      </c>
      <c r="P38" s="192"/>
      <c r="Q38" s="192" t="s">
        <v>8</v>
      </c>
      <c r="R38" s="192"/>
      <c r="S38" s="9"/>
      <c r="T38" s="192" t="s">
        <v>7</v>
      </c>
      <c r="U38" s="192"/>
      <c r="V38" s="192" t="s">
        <v>8</v>
      </c>
      <c r="W38" s="192"/>
      <c r="Y38" s="192" t="s">
        <v>7</v>
      </c>
      <c r="Z38" s="192"/>
      <c r="AA38" s="192" t="s">
        <v>8</v>
      </c>
      <c r="AB38" s="192"/>
      <c r="AD38" s="192" t="s">
        <v>7</v>
      </c>
      <c r="AE38" s="192"/>
      <c r="AF38" s="192" t="s">
        <v>8</v>
      </c>
      <c r="AG38" s="192"/>
      <c r="AI38" s="235" t="s">
        <v>4</v>
      </c>
      <c r="AJ38" s="235" t="s">
        <v>65</v>
      </c>
      <c r="AK38" s="235" t="s">
        <v>8</v>
      </c>
      <c r="AL38" s="235" t="s">
        <v>5</v>
      </c>
    </row>
    <row r="39" spans="1:38" s="10" customFormat="1" ht="30" x14ac:dyDescent="0.25">
      <c r="A39" s="204"/>
      <c r="B39" s="198"/>
      <c r="C39" s="236"/>
      <c r="D39" s="198"/>
      <c r="E39" s="236"/>
      <c r="F39" s="201"/>
      <c r="G39" s="245"/>
      <c r="H39" s="192"/>
      <c r="I39" s="11"/>
      <c r="J39" s="61" t="s">
        <v>59</v>
      </c>
      <c r="K39" s="61" t="s">
        <v>60</v>
      </c>
      <c r="L39" s="152" t="s">
        <v>63</v>
      </c>
      <c r="M39" s="61" t="s">
        <v>62</v>
      </c>
      <c r="N39" s="11"/>
      <c r="O39" s="153" t="s">
        <v>59</v>
      </c>
      <c r="P39" s="61" t="s">
        <v>60</v>
      </c>
      <c r="Q39" s="153" t="s">
        <v>63</v>
      </c>
      <c r="R39" s="61" t="s">
        <v>62</v>
      </c>
      <c r="S39" s="9"/>
      <c r="T39" s="153" t="s">
        <v>59</v>
      </c>
      <c r="U39" s="61" t="s">
        <v>60</v>
      </c>
      <c r="V39" s="61" t="s">
        <v>63</v>
      </c>
      <c r="W39" s="61" t="s">
        <v>62</v>
      </c>
      <c r="Y39" s="61" t="s">
        <v>59</v>
      </c>
      <c r="Z39" s="61" t="s">
        <v>60</v>
      </c>
      <c r="AA39" s="61" t="s">
        <v>63</v>
      </c>
      <c r="AB39" s="61" t="s">
        <v>62</v>
      </c>
      <c r="AD39" s="61" t="s">
        <v>59</v>
      </c>
      <c r="AE39" s="61" t="s">
        <v>60</v>
      </c>
      <c r="AF39" s="61" t="s">
        <v>63</v>
      </c>
      <c r="AG39" s="61" t="s">
        <v>62</v>
      </c>
      <c r="AI39" s="236"/>
      <c r="AJ39" s="236"/>
      <c r="AK39" s="236"/>
      <c r="AL39" s="236"/>
    </row>
    <row r="40" spans="1:38" ht="75.75" customHeight="1" x14ac:dyDescent="0.25">
      <c r="A40" s="243" t="s">
        <v>114</v>
      </c>
      <c r="B40" s="208" t="s">
        <v>115</v>
      </c>
      <c r="C40" s="208" t="s">
        <v>116</v>
      </c>
      <c r="D40" s="208" t="s">
        <v>150</v>
      </c>
      <c r="E40" s="208" t="str">
        <f>C33</f>
        <v xml:space="preserve">Aumentar el acceso a vivienda digna, espacio público y equipamientos de la población vulnerable en suelo urbano y rural </v>
      </c>
      <c r="F40" s="100" t="s">
        <v>186</v>
      </c>
      <c r="G40" s="100" t="s">
        <v>90</v>
      </c>
      <c r="H40" s="241" t="str">
        <f>C35</f>
        <v>Sistema Distrital de cuidado</v>
      </c>
      <c r="I40" s="13"/>
      <c r="J40" s="93">
        <v>300</v>
      </c>
      <c r="K40" s="93">
        <v>433</v>
      </c>
      <c r="L40" s="109"/>
      <c r="M40" s="94"/>
      <c r="N40" s="95"/>
      <c r="O40" s="103">
        <v>1005</v>
      </c>
      <c r="P40" s="103">
        <v>1005</v>
      </c>
      <c r="Q40" s="94"/>
      <c r="R40" s="94"/>
      <c r="S40" s="160"/>
      <c r="T40" s="167">
        <v>907</v>
      </c>
      <c r="U40" s="167">
        <v>907</v>
      </c>
      <c r="V40" s="155"/>
      <c r="W40" s="156"/>
      <c r="X40" s="97"/>
      <c r="Y40" s="167">
        <v>784</v>
      </c>
      <c r="Z40" s="167">
        <v>784</v>
      </c>
      <c r="AA40" s="155"/>
      <c r="AB40" s="156"/>
      <c r="AC40" s="97"/>
      <c r="AD40" s="167">
        <v>771</v>
      </c>
      <c r="AE40" s="104">
        <v>19</v>
      </c>
      <c r="AF40" s="155"/>
      <c r="AG40" s="156"/>
      <c r="AH40" s="160"/>
      <c r="AI40" s="104">
        <f>J40+O40+T40+Y40+AD40+133</f>
        <v>3900</v>
      </c>
      <c r="AJ40" s="104">
        <f t="shared" ref="AJ40:AL43" si="3">K40+P40+U40+Z40+AE40</f>
        <v>3148</v>
      </c>
      <c r="AK40" s="99">
        <f t="shared" si="3"/>
        <v>0</v>
      </c>
      <c r="AL40" s="99">
        <f t="shared" si="3"/>
        <v>0</v>
      </c>
    </row>
    <row r="41" spans="1:38" ht="75.75" customHeight="1" x14ac:dyDescent="0.25">
      <c r="A41" s="244"/>
      <c r="B41" s="209"/>
      <c r="C41" s="209"/>
      <c r="D41" s="209"/>
      <c r="E41" s="209"/>
      <c r="F41" s="12" t="s">
        <v>185</v>
      </c>
      <c r="G41" s="12" t="s">
        <v>90</v>
      </c>
      <c r="H41" s="242"/>
      <c r="I41" s="13"/>
      <c r="J41" s="88">
        <v>300</v>
      </c>
      <c r="K41" s="88">
        <v>433</v>
      </c>
      <c r="L41" s="112">
        <v>2485.9104860000002</v>
      </c>
      <c r="M41" s="27">
        <v>2462.6375039999998</v>
      </c>
      <c r="N41" s="15"/>
      <c r="O41" s="14">
        <v>1005</v>
      </c>
      <c r="P41" s="14">
        <v>1005</v>
      </c>
      <c r="Q41" s="57">
        <f>3174460251/L1</f>
        <v>3174.460251</v>
      </c>
      <c r="R41" s="27">
        <f>3173790307/L1</f>
        <v>3173.7903070000002</v>
      </c>
      <c r="T41" s="14">
        <v>907</v>
      </c>
      <c r="U41" s="157">
        <v>907</v>
      </c>
      <c r="V41" s="57">
        <f>2789780428/L1</f>
        <v>2789.780428</v>
      </c>
      <c r="W41" s="57">
        <f>2722403328/L1</f>
        <v>2722.4033279999999</v>
      </c>
      <c r="X41" s="87"/>
      <c r="Y41" s="166">
        <v>784</v>
      </c>
      <c r="Z41" s="157">
        <f>+Z40</f>
        <v>784</v>
      </c>
      <c r="AA41" s="57">
        <f>2154440514/L1</f>
        <v>2154.4405139999999</v>
      </c>
      <c r="AB41" s="170">
        <f>2126649916/L1</f>
        <v>2126.6499159999998</v>
      </c>
      <c r="AC41" s="87"/>
      <c r="AD41" s="82">
        <v>771</v>
      </c>
      <c r="AE41" s="82">
        <v>19</v>
      </c>
      <c r="AF41" s="57">
        <f>1475520000/L1</f>
        <v>1475.52</v>
      </c>
      <c r="AG41" s="158">
        <f>734576700/L1</f>
        <v>734.57669999999996</v>
      </c>
      <c r="AI41" s="82">
        <f>J41+O41+T41+Y41+AD41+133</f>
        <v>3900</v>
      </c>
      <c r="AJ41" s="82">
        <f t="shared" si="3"/>
        <v>3148</v>
      </c>
      <c r="AK41" s="57">
        <f t="shared" si="3"/>
        <v>12080.111679</v>
      </c>
      <c r="AL41" s="56">
        <f t="shared" si="3"/>
        <v>11220.057755</v>
      </c>
    </row>
    <row r="42" spans="1:38" ht="43.5" customHeight="1" x14ac:dyDescent="0.25">
      <c r="A42" s="244"/>
      <c r="B42" s="209"/>
      <c r="C42" s="209"/>
      <c r="D42" s="209"/>
      <c r="E42" s="209"/>
      <c r="F42" s="12" t="s">
        <v>119</v>
      </c>
      <c r="G42" s="12" t="s">
        <v>120</v>
      </c>
      <c r="H42" s="242"/>
      <c r="I42" s="13"/>
      <c r="J42" s="14">
        <v>1</v>
      </c>
      <c r="K42" s="14">
        <v>1</v>
      </c>
      <c r="L42" s="110">
        <v>3933.2635260000002</v>
      </c>
      <c r="M42" s="27">
        <v>3919.824286</v>
      </c>
      <c r="N42" s="15"/>
      <c r="O42" s="18">
        <v>0.35</v>
      </c>
      <c r="P42" s="132">
        <v>0.35</v>
      </c>
      <c r="Q42" s="57">
        <f>785812430/L1</f>
        <v>785.81242999999995</v>
      </c>
      <c r="R42" s="27">
        <f>783562430/L1</f>
        <v>783.56242999999995</v>
      </c>
      <c r="T42" s="168">
        <v>0.25</v>
      </c>
      <c r="U42" s="169">
        <v>0.25</v>
      </c>
      <c r="V42" s="57">
        <f>780581888/L1</f>
        <v>780.58188800000005</v>
      </c>
      <c r="W42" s="57">
        <f>664949494/L1</f>
        <v>664.94949399999996</v>
      </c>
      <c r="X42" s="87"/>
      <c r="Y42" s="168">
        <v>0.27</v>
      </c>
      <c r="Z42" s="187">
        <v>0.13</v>
      </c>
      <c r="AA42" s="57">
        <f>906088213/L1</f>
        <v>906.088213</v>
      </c>
      <c r="AB42" s="57">
        <f>816366845/L1</f>
        <v>816.36684500000001</v>
      </c>
      <c r="AC42" s="87"/>
      <c r="AD42" s="132">
        <v>0.28000000000000003</v>
      </c>
      <c r="AE42" s="82">
        <v>0</v>
      </c>
      <c r="AF42" s="122">
        <f xml:space="preserve">  888200000 /L1</f>
        <v>888.2</v>
      </c>
      <c r="AG42" s="158">
        <f>367468129/L1</f>
        <v>367.46812899999998</v>
      </c>
      <c r="AI42" s="82">
        <f>J42+O42+T42+Y42+AD42</f>
        <v>2.1500000000000004</v>
      </c>
      <c r="AJ42" s="132">
        <f t="shared" si="3"/>
        <v>1.73</v>
      </c>
      <c r="AK42" s="57">
        <f>L42+Q42+V42+AA42+AF42</f>
        <v>7293.9460570000001</v>
      </c>
      <c r="AL42" s="56">
        <f t="shared" si="3"/>
        <v>6552.1711839999998</v>
      </c>
    </row>
    <row r="43" spans="1:38" ht="39.75" customHeight="1" x14ac:dyDescent="0.25">
      <c r="A43" s="244"/>
      <c r="B43" s="209"/>
      <c r="C43" s="209"/>
      <c r="D43" s="209"/>
      <c r="E43" s="209"/>
      <c r="F43" s="12" t="s">
        <v>117</v>
      </c>
      <c r="G43" s="12" t="s">
        <v>118</v>
      </c>
      <c r="H43" s="242"/>
      <c r="I43" s="13"/>
      <c r="J43" s="14">
        <v>1</v>
      </c>
      <c r="K43" s="14">
        <v>1</v>
      </c>
      <c r="L43" s="117">
        <v>1.1481950000000001</v>
      </c>
      <c r="M43" s="118">
        <v>1.1481950000000001</v>
      </c>
      <c r="N43" s="15"/>
      <c r="O43" s="14">
        <v>1</v>
      </c>
      <c r="P43" s="14">
        <v>1</v>
      </c>
      <c r="Q43" s="57">
        <f>704512319/L1</f>
        <v>704.51231900000005</v>
      </c>
      <c r="R43" s="27">
        <f>700993442/L1</f>
        <v>700.99344199999996</v>
      </c>
      <c r="T43" s="168" t="s">
        <v>181</v>
      </c>
      <c r="U43" s="169">
        <v>0.7</v>
      </c>
      <c r="V43" s="57">
        <f>544580000/L1</f>
        <v>544.58000000000004</v>
      </c>
      <c r="W43" s="57">
        <f>544580000/L1</f>
        <v>544.58000000000004</v>
      </c>
      <c r="X43" s="87"/>
      <c r="Y43" s="157" t="s">
        <v>180</v>
      </c>
      <c r="Z43" s="187">
        <v>1.05</v>
      </c>
      <c r="AA43" s="57">
        <f>1318697580/L1</f>
        <v>1318.69758</v>
      </c>
      <c r="AB43" s="159">
        <f>1268364625/L1</f>
        <v>1268.3646249999999</v>
      </c>
      <c r="AC43" s="87"/>
      <c r="AD43" s="189">
        <v>0.3</v>
      </c>
      <c r="AE43" s="82">
        <v>0</v>
      </c>
      <c r="AF43" s="57">
        <f>60000000/L1</f>
        <v>60</v>
      </c>
      <c r="AG43" s="158">
        <v>0</v>
      </c>
      <c r="AI43" s="138">
        <v>4</v>
      </c>
      <c r="AJ43" s="132">
        <f t="shared" si="3"/>
        <v>3.75</v>
      </c>
      <c r="AK43" s="57">
        <f t="shared" si="3"/>
        <v>2628.9380940000001</v>
      </c>
      <c r="AL43" s="56">
        <f>M43+R43+W43+AB43+AG43</f>
        <v>2515.0862619999998</v>
      </c>
    </row>
    <row r="44" spans="1:38" ht="61.5" customHeight="1" x14ac:dyDescent="0.25">
      <c r="A44" s="171"/>
      <c r="B44" s="210"/>
      <c r="C44" s="210"/>
      <c r="D44" s="210"/>
      <c r="E44" s="210"/>
      <c r="F44" s="12" t="s">
        <v>184</v>
      </c>
      <c r="G44" s="135" t="s">
        <v>176</v>
      </c>
      <c r="H44" s="141"/>
      <c r="I44" s="13"/>
      <c r="J44" s="14">
        <v>0</v>
      </c>
      <c r="K44" s="14">
        <v>0</v>
      </c>
      <c r="L44" s="117"/>
      <c r="M44" s="118"/>
      <c r="N44" s="15"/>
      <c r="O44" s="14">
        <v>0</v>
      </c>
      <c r="P44" s="14">
        <v>0</v>
      </c>
      <c r="Q44" s="57"/>
      <c r="R44" s="27"/>
      <c r="T44" s="162">
        <v>1</v>
      </c>
      <c r="U44" s="162">
        <v>0.95</v>
      </c>
      <c r="V44" s="57">
        <f>4835058684/L1</f>
        <v>4835.0586839999996</v>
      </c>
      <c r="W44" s="57">
        <f>4774833286/L1</f>
        <v>4774.833286</v>
      </c>
      <c r="X44" s="87"/>
      <c r="Y44" s="162">
        <v>1</v>
      </c>
      <c r="Z44" s="162">
        <v>0.98799999999999999</v>
      </c>
      <c r="AA44" s="57">
        <f>642633693/L1</f>
        <v>642.63369299999999</v>
      </c>
      <c r="AB44" s="159">
        <f>628436596/L1</f>
        <v>628.43659600000001</v>
      </c>
      <c r="AC44" s="87"/>
      <c r="AD44" s="162">
        <v>1</v>
      </c>
      <c r="AE44" s="162">
        <v>1</v>
      </c>
      <c r="AF44" s="57">
        <f>+  1566880000/L1</f>
        <v>1566.88</v>
      </c>
      <c r="AG44" s="158">
        <f>241531292/L1</f>
        <v>241.53129200000001</v>
      </c>
      <c r="AI44" s="89">
        <f>AD44</f>
        <v>1</v>
      </c>
      <c r="AJ44" s="107">
        <f>(+Z44+U44+AE44)/3</f>
        <v>0.97933333333333328</v>
      </c>
      <c r="AK44" s="57">
        <f>L44+Q44+V44+AA44+AF44</f>
        <v>7044.5723769999995</v>
      </c>
      <c r="AL44" s="56">
        <f>M44+R44+W44+AB44+AG44</f>
        <v>5644.8011740000002</v>
      </c>
    </row>
    <row r="45" spans="1:38" s="6" customFormat="1" ht="15.75" x14ac:dyDescent="0.25">
      <c r="A45" s="164"/>
      <c r="B45" s="62" t="s">
        <v>102</v>
      </c>
      <c r="C45" s="62"/>
      <c r="D45" s="62"/>
      <c r="E45" s="62"/>
      <c r="F45" s="37"/>
      <c r="G45" s="37"/>
      <c r="H45" s="37"/>
      <c r="I45" s="38"/>
      <c r="J45" s="39"/>
      <c r="K45" s="39"/>
      <c r="L45" s="111">
        <f>SUM(L40:L44)</f>
        <v>6420.3222070000002</v>
      </c>
      <c r="M45" s="111">
        <f>SUM(M40:M44)</f>
        <v>6383.6099849999991</v>
      </c>
      <c r="N45" s="41"/>
      <c r="O45" s="39"/>
      <c r="P45" s="39"/>
      <c r="Q45" s="111">
        <f>SUM(Q40:Q44)</f>
        <v>4664.7849999999999</v>
      </c>
      <c r="R45" s="111">
        <f>SUM(R40:R44)</f>
        <v>4658.3461790000001</v>
      </c>
      <c r="T45" s="39"/>
      <c r="U45" s="39"/>
      <c r="V45" s="111">
        <f>SUM(V40:V44)</f>
        <v>8950.0010000000002</v>
      </c>
      <c r="W45" s="111">
        <f>SUM(W40:W44)</f>
        <v>8706.7661079999998</v>
      </c>
      <c r="Y45" s="39"/>
      <c r="Z45" s="39"/>
      <c r="AA45" s="111">
        <f>SUM(AA40:AA44)</f>
        <v>5021.8599999999997</v>
      </c>
      <c r="AB45" s="111">
        <f>SUM(AB40:AB44)</f>
        <v>4839.8179820000005</v>
      </c>
      <c r="AD45" s="39"/>
      <c r="AE45" s="40"/>
      <c r="AF45" s="111">
        <f>SUM(AF40:AF44)</f>
        <v>3990.6000000000004</v>
      </c>
      <c r="AG45" s="111">
        <f>SUM(AG40:AG44)</f>
        <v>1343.5761210000001</v>
      </c>
      <c r="AI45" s="85"/>
      <c r="AJ45" s="85"/>
      <c r="AK45" s="111">
        <f>SUM(AK40:AK44)</f>
        <v>29047.568207</v>
      </c>
      <c r="AL45" s="111">
        <f>SUM(AL40:AL44)</f>
        <v>25932.116375000001</v>
      </c>
    </row>
    <row r="47" spans="1:38" s="143" customFormat="1" ht="15.75" customHeight="1" x14ac:dyDescent="0.2">
      <c r="A47" s="237"/>
      <c r="B47" s="237"/>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row>
    <row r="48" spans="1:38" s="142" customFormat="1" ht="12.75" x14ac:dyDescent="0.2">
      <c r="A48" s="144"/>
      <c r="B48" s="145"/>
      <c r="C48" s="145"/>
      <c r="D48" s="145"/>
      <c r="E48" s="145"/>
      <c r="F48" s="145"/>
      <c r="G48" s="145"/>
      <c r="H48" s="145"/>
      <c r="I48" s="146"/>
      <c r="J48" s="144"/>
      <c r="K48" s="146"/>
      <c r="L48" s="147"/>
      <c r="M48" s="146"/>
      <c r="N48" s="146"/>
      <c r="O48" s="146"/>
      <c r="P48" s="146"/>
      <c r="Q48" s="146"/>
      <c r="R48" s="146"/>
      <c r="T48" s="148"/>
      <c r="U48" s="148"/>
      <c r="V48" s="148"/>
      <c r="W48" s="148"/>
      <c r="Y48" s="148"/>
      <c r="Z48" s="148"/>
      <c r="AA48" s="148"/>
      <c r="AB48" s="148"/>
      <c r="AD48" s="146"/>
      <c r="AE48" s="146"/>
      <c r="AF48" s="148"/>
      <c r="AG48" s="148"/>
      <c r="AI48" s="149"/>
      <c r="AJ48" s="149"/>
      <c r="AK48" s="149"/>
      <c r="AL48" s="150"/>
    </row>
    <row r="49" spans="1:38" x14ac:dyDescent="0.25">
      <c r="A49" s="101">
        <v>2</v>
      </c>
      <c r="B49" s="90" t="s">
        <v>93</v>
      </c>
      <c r="C49" s="231" t="s">
        <v>160</v>
      </c>
      <c r="D49" s="231"/>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row>
    <row r="50" spans="1:38" ht="15.75" x14ac:dyDescent="0.25">
      <c r="A50" s="50">
        <v>15</v>
      </c>
      <c r="B50" s="6" t="s">
        <v>155</v>
      </c>
      <c r="C50" s="247" t="s">
        <v>161</v>
      </c>
      <c r="D50" s="247"/>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row>
    <row r="51" spans="1:38" x14ac:dyDescent="0.25">
      <c r="A51" s="50">
        <v>29</v>
      </c>
      <c r="B51" s="6" t="s">
        <v>94</v>
      </c>
      <c r="C51" s="231" t="s">
        <v>162</v>
      </c>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row>
    <row r="52" spans="1:38" ht="30" x14ac:dyDescent="0.25">
      <c r="A52" s="50">
        <v>3</v>
      </c>
      <c r="B52" s="91" t="s">
        <v>97</v>
      </c>
      <c r="C52" s="231" t="s">
        <v>113</v>
      </c>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row>
    <row r="54" spans="1:38" s="10" customFormat="1" ht="27" customHeight="1" x14ac:dyDescent="0.25">
      <c r="A54" s="202" t="s">
        <v>2</v>
      </c>
      <c r="B54" s="196" t="s">
        <v>3</v>
      </c>
      <c r="C54" s="235" t="s">
        <v>86</v>
      </c>
      <c r="D54" s="196" t="s">
        <v>66</v>
      </c>
      <c r="E54" s="235" t="s">
        <v>167</v>
      </c>
      <c r="F54" s="199" t="s">
        <v>100</v>
      </c>
      <c r="G54" s="245" t="s">
        <v>89</v>
      </c>
      <c r="H54" s="192" t="s">
        <v>168</v>
      </c>
      <c r="I54" s="9"/>
      <c r="J54" s="192">
        <v>2020</v>
      </c>
      <c r="K54" s="192"/>
      <c r="L54" s="192"/>
      <c r="M54" s="192"/>
      <c r="N54" s="9"/>
      <c r="O54" s="192">
        <v>2021</v>
      </c>
      <c r="P54" s="192"/>
      <c r="Q54" s="192"/>
      <c r="R54" s="192"/>
      <c r="T54" s="192">
        <v>2022</v>
      </c>
      <c r="U54" s="192"/>
      <c r="V54" s="192"/>
      <c r="W54" s="192"/>
      <c r="Y54" s="192">
        <v>2023</v>
      </c>
      <c r="Z54" s="192"/>
      <c r="AA54" s="192"/>
      <c r="AB54" s="192"/>
      <c r="AD54" s="213">
        <v>2024</v>
      </c>
      <c r="AE54" s="214"/>
      <c r="AF54" s="214"/>
      <c r="AG54" s="214"/>
      <c r="AI54" s="246" t="s">
        <v>101</v>
      </c>
      <c r="AJ54" s="246"/>
      <c r="AK54" s="246"/>
      <c r="AL54" s="246"/>
    </row>
    <row r="55" spans="1:38" s="10" customFormat="1" ht="16.5" customHeight="1" x14ac:dyDescent="0.25">
      <c r="A55" s="203"/>
      <c r="B55" s="197"/>
      <c r="C55" s="200"/>
      <c r="D55" s="197"/>
      <c r="E55" s="200"/>
      <c r="F55" s="200"/>
      <c r="G55" s="245"/>
      <c r="H55" s="192"/>
      <c r="I55" s="9"/>
      <c r="J55" s="192" t="s">
        <v>4</v>
      </c>
      <c r="K55" s="192"/>
      <c r="L55" s="192" t="s">
        <v>61</v>
      </c>
      <c r="M55" s="192"/>
      <c r="N55" s="9"/>
      <c r="O55" s="192" t="s">
        <v>6</v>
      </c>
      <c r="P55" s="192"/>
      <c r="Q55" s="192" t="s">
        <v>8</v>
      </c>
      <c r="R55" s="192"/>
      <c r="S55" s="9"/>
      <c r="T55" s="192" t="s">
        <v>7</v>
      </c>
      <c r="U55" s="192"/>
      <c r="V55" s="192" t="s">
        <v>8</v>
      </c>
      <c r="W55" s="192"/>
      <c r="Y55" s="192" t="s">
        <v>7</v>
      </c>
      <c r="Z55" s="192"/>
      <c r="AA55" s="192" t="s">
        <v>8</v>
      </c>
      <c r="AB55" s="192"/>
      <c r="AD55" s="192" t="s">
        <v>7</v>
      </c>
      <c r="AE55" s="192"/>
      <c r="AF55" s="192" t="s">
        <v>8</v>
      </c>
      <c r="AG55" s="192"/>
      <c r="AI55" s="235" t="s">
        <v>4</v>
      </c>
      <c r="AJ55" s="235" t="s">
        <v>65</v>
      </c>
      <c r="AK55" s="235" t="s">
        <v>8</v>
      </c>
      <c r="AL55" s="235" t="s">
        <v>5</v>
      </c>
    </row>
    <row r="56" spans="1:38" s="10" customFormat="1" ht="30" x14ac:dyDescent="0.25">
      <c r="A56" s="204"/>
      <c r="B56" s="198"/>
      <c r="C56" s="236"/>
      <c r="D56" s="198"/>
      <c r="E56" s="236"/>
      <c r="F56" s="201"/>
      <c r="G56" s="245"/>
      <c r="H56" s="192"/>
      <c r="I56" s="11"/>
      <c r="J56" s="61" t="s">
        <v>59</v>
      </c>
      <c r="K56" s="61" t="s">
        <v>60</v>
      </c>
      <c r="L56" s="152" t="s">
        <v>63</v>
      </c>
      <c r="M56" s="61" t="s">
        <v>62</v>
      </c>
      <c r="N56" s="11"/>
      <c r="O56" s="153" t="s">
        <v>59</v>
      </c>
      <c r="P56" s="61" t="s">
        <v>60</v>
      </c>
      <c r="Q56" s="153" t="s">
        <v>63</v>
      </c>
      <c r="R56" s="61" t="s">
        <v>62</v>
      </c>
      <c r="S56" s="9"/>
      <c r="T56" s="153" t="s">
        <v>59</v>
      </c>
      <c r="U56" s="61" t="s">
        <v>60</v>
      </c>
      <c r="V56" s="61" t="s">
        <v>63</v>
      </c>
      <c r="W56" s="61" t="s">
        <v>62</v>
      </c>
      <c r="Y56" s="61" t="s">
        <v>59</v>
      </c>
      <c r="Z56" s="61" t="s">
        <v>60</v>
      </c>
      <c r="AA56" s="61" t="s">
        <v>63</v>
      </c>
      <c r="AB56" s="61" t="s">
        <v>62</v>
      </c>
      <c r="AD56" s="61" t="s">
        <v>59</v>
      </c>
      <c r="AE56" s="61" t="s">
        <v>60</v>
      </c>
      <c r="AF56" s="61" t="s">
        <v>63</v>
      </c>
      <c r="AG56" s="61" t="s">
        <v>62</v>
      </c>
      <c r="AI56" s="236"/>
      <c r="AJ56" s="236"/>
      <c r="AK56" s="236"/>
      <c r="AL56" s="236"/>
    </row>
    <row r="57" spans="1:38" ht="75.75" customHeight="1" x14ac:dyDescent="0.25">
      <c r="A57" s="250" t="s">
        <v>121</v>
      </c>
      <c r="B57" s="208" t="s">
        <v>123</v>
      </c>
      <c r="C57" s="208" t="s">
        <v>122</v>
      </c>
      <c r="D57" s="208" t="s">
        <v>151</v>
      </c>
      <c r="E57" s="208" t="str">
        <f>C50</f>
        <v xml:space="preserve">Intervenir integralmente áreas estratégicas de Bogotá teniendo en cuenta las dinámicas patrimoniales, ambientales, sociales y culturales  
</v>
      </c>
      <c r="F57" s="100" t="s">
        <v>124</v>
      </c>
      <c r="G57" s="100" t="s">
        <v>125</v>
      </c>
      <c r="H57" s="241" t="str">
        <f>C52</f>
        <v>Sistema Distrital de cuidado</v>
      </c>
      <c r="I57" s="13"/>
      <c r="J57" s="93">
        <v>410</v>
      </c>
      <c r="K57" s="93">
        <v>410</v>
      </c>
      <c r="L57" s="109"/>
      <c r="M57" s="94"/>
      <c r="N57" s="95"/>
      <c r="O57" s="104">
        <v>526</v>
      </c>
      <c r="P57" s="103">
        <v>526</v>
      </c>
      <c r="Q57" s="94"/>
      <c r="R57" s="94"/>
      <c r="S57" s="160"/>
      <c r="T57" s="167">
        <v>703</v>
      </c>
      <c r="U57" s="167">
        <v>703</v>
      </c>
      <c r="V57" s="155"/>
      <c r="W57" s="156"/>
      <c r="X57" s="97"/>
      <c r="Y57" s="167">
        <v>218</v>
      </c>
      <c r="Z57" s="167">
        <v>218</v>
      </c>
      <c r="AA57" s="155"/>
      <c r="AB57" s="156"/>
      <c r="AC57" s="97"/>
      <c r="AD57" s="104">
        <v>293</v>
      </c>
      <c r="AE57" s="104">
        <v>121</v>
      </c>
      <c r="AF57" s="155"/>
      <c r="AG57" s="156"/>
      <c r="AH57" s="160"/>
      <c r="AI57" s="104">
        <f>J57+O57+T57+Y57+AD57</f>
        <v>2150</v>
      </c>
      <c r="AJ57" s="104">
        <f>K57+P57+U57+Z57+AE57</f>
        <v>1978</v>
      </c>
      <c r="AK57" s="99">
        <f>L57+Q57+V57+AA57+AF57</f>
        <v>0</v>
      </c>
      <c r="AL57" s="99">
        <f>M57+R57+W57+AB57+AG57</f>
        <v>0</v>
      </c>
    </row>
    <row r="58" spans="1:38" ht="71.25" customHeight="1" x14ac:dyDescent="0.25">
      <c r="A58" s="251"/>
      <c r="B58" s="209"/>
      <c r="C58" s="209"/>
      <c r="D58" s="209"/>
      <c r="E58" s="209"/>
      <c r="F58" s="12" t="s">
        <v>126</v>
      </c>
      <c r="G58" s="12" t="s">
        <v>127</v>
      </c>
      <c r="H58" s="242"/>
      <c r="I58" s="13"/>
      <c r="J58" s="14">
        <v>54</v>
      </c>
      <c r="K58" s="82">
        <v>55</v>
      </c>
      <c r="L58" s="110">
        <v>5071.6473960000003</v>
      </c>
      <c r="M58" s="27">
        <v>4319.8978859999997</v>
      </c>
      <c r="N58" s="15"/>
      <c r="O58" s="14">
        <v>207</v>
      </c>
      <c r="P58" s="14">
        <v>207</v>
      </c>
      <c r="Q58" s="57">
        <f>10671009470/L1</f>
        <v>10671.009470000001</v>
      </c>
      <c r="R58" s="27">
        <f>10624208143/L1</f>
        <v>10624.208143</v>
      </c>
      <c r="T58" s="166">
        <v>422</v>
      </c>
      <c r="U58" s="173">
        <v>422</v>
      </c>
      <c r="V58" s="57">
        <f>21096250020/L1</f>
        <v>21096.250019999999</v>
      </c>
      <c r="W58" s="57">
        <f>20872326132/L1</f>
        <v>20872.326131999998</v>
      </c>
      <c r="X58" s="87"/>
      <c r="Y58" s="157">
        <v>208</v>
      </c>
      <c r="Z58" s="157">
        <v>208</v>
      </c>
      <c r="AA58" s="57">
        <f>5680333377/L1</f>
        <v>5680.3333769999999</v>
      </c>
      <c r="AB58" s="158">
        <f>5680333377/L1</f>
        <v>5680.3333769999999</v>
      </c>
      <c r="AC58" s="87"/>
      <c r="AD58" s="82">
        <v>332</v>
      </c>
      <c r="AE58" s="82">
        <v>0</v>
      </c>
      <c r="AF58" s="57">
        <f>2933053000/L1</f>
        <v>2933.0529999999999</v>
      </c>
      <c r="AG58" s="159">
        <v>0</v>
      </c>
      <c r="AI58" s="82">
        <f>J58+O58+T58+Y58+AD58</f>
        <v>1223</v>
      </c>
      <c r="AJ58" s="82">
        <f t="shared" ref="AJ58:AJ63" si="4">K58+P58+U58+Z58+AE58</f>
        <v>892</v>
      </c>
      <c r="AK58" s="56">
        <f t="shared" ref="AK58:AL64" si="5">L58+Q58+V58+AA58+AF58</f>
        <v>45452.293263</v>
      </c>
      <c r="AL58" s="56">
        <f t="shared" si="5"/>
        <v>41496.765538</v>
      </c>
    </row>
    <row r="59" spans="1:38" ht="66.75" customHeight="1" x14ac:dyDescent="0.25">
      <c r="A59" s="251"/>
      <c r="B59" s="209"/>
      <c r="C59" s="209"/>
      <c r="D59" s="209"/>
      <c r="E59" s="209"/>
      <c r="F59" s="12" t="s">
        <v>128</v>
      </c>
      <c r="G59" s="12" t="s">
        <v>129</v>
      </c>
      <c r="H59" s="242"/>
      <c r="I59" s="13"/>
      <c r="J59" s="14">
        <v>28</v>
      </c>
      <c r="K59" s="14">
        <v>27</v>
      </c>
      <c r="L59" s="110">
        <v>2969.3287610000002</v>
      </c>
      <c r="M59" s="27">
        <v>2928.9973829999999</v>
      </c>
      <c r="N59" s="15"/>
      <c r="O59" s="82">
        <v>37</v>
      </c>
      <c r="P59" s="82">
        <v>37</v>
      </c>
      <c r="Q59" s="57">
        <f>2731695509/L1</f>
        <v>2731.6955090000001</v>
      </c>
      <c r="R59" s="27">
        <f>2708768098/L1</f>
        <v>2708.768098</v>
      </c>
      <c r="T59" s="166">
        <v>41</v>
      </c>
      <c r="U59" s="157">
        <v>41</v>
      </c>
      <c r="V59" s="57">
        <f>2062738063/L1</f>
        <v>2062.7380629999998</v>
      </c>
      <c r="W59" s="57">
        <f>2059134205/L1</f>
        <v>2059.1342049999998</v>
      </c>
      <c r="X59" s="87"/>
      <c r="Y59" s="157">
        <v>10</v>
      </c>
      <c r="Z59" s="157">
        <v>10</v>
      </c>
      <c r="AA59" s="57">
        <f>800000000/L1</f>
        <v>800</v>
      </c>
      <c r="AB59" s="159">
        <f>800000000/L1</f>
        <v>800</v>
      </c>
      <c r="AC59" s="87"/>
      <c r="AD59" s="82">
        <v>1</v>
      </c>
      <c r="AE59" s="82">
        <v>0</v>
      </c>
      <c r="AF59" s="57">
        <f>547500000/L1</f>
        <v>547.5</v>
      </c>
      <c r="AG59" s="159">
        <v>0</v>
      </c>
      <c r="AI59" s="82">
        <f>J59+O59+T59+Y59+AD59-1</f>
        <v>116</v>
      </c>
      <c r="AJ59" s="82">
        <f t="shared" si="4"/>
        <v>115</v>
      </c>
      <c r="AK59" s="56">
        <f t="shared" si="5"/>
        <v>9111.2623329999988</v>
      </c>
      <c r="AL59" s="56">
        <f t="shared" si="5"/>
        <v>8496.8996860000007</v>
      </c>
    </row>
    <row r="60" spans="1:38" ht="58.5" customHeight="1" x14ac:dyDescent="0.25">
      <c r="A60" s="251"/>
      <c r="B60" s="209"/>
      <c r="C60" s="209"/>
      <c r="D60" s="209"/>
      <c r="E60" s="209"/>
      <c r="F60" s="12" t="s">
        <v>187</v>
      </c>
      <c r="G60" s="12" t="s">
        <v>130</v>
      </c>
      <c r="H60" s="242"/>
      <c r="I60" s="13"/>
      <c r="J60" s="14">
        <v>1497</v>
      </c>
      <c r="K60" s="14">
        <v>1484</v>
      </c>
      <c r="L60" s="110">
        <v>3667.6184499999999</v>
      </c>
      <c r="M60" s="27">
        <v>3203.0383700000002</v>
      </c>
      <c r="N60" s="15"/>
      <c r="O60" s="82">
        <v>1598</v>
      </c>
      <c r="P60" s="14">
        <v>1588</v>
      </c>
      <c r="Q60" s="27">
        <f>5904783901/L1</f>
        <v>5904.7839009999998</v>
      </c>
      <c r="R60" s="57">
        <f>5824458558/L1</f>
        <v>5824.4585580000003</v>
      </c>
      <c r="T60" s="14">
        <v>1706</v>
      </c>
      <c r="U60" s="14">
        <v>1706</v>
      </c>
      <c r="V60" s="57">
        <f>3927095865/L1</f>
        <v>3927.0958649999998</v>
      </c>
      <c r="W60" s="57">
        <f>3927095865/L1</f>
        <v>3927.0958649999998</v>
      </c>
      <c r="X60" s="87"/>
      <c r="Y60" s="166">
        <v>0</v>
      </c>
      <c r="Z60" s="157">
        <v>0</v>
      </c>
      <c r="AA60" s="57">
        <v>0</v>
      </c>
      <c r="AB60" s="170">
        <v>0</v>
      </c>
      <c r="AC60" s="87"/>
      <c r="AD60" s="82">
        <v>0</v>
      </c>
      <c r="AE60" s="82">
        <v>0</v>
      </c>
      <c r="AF60" s="57">
        <v>0</v>
      </c>
      <c r="AG60" s="170"/>
      <c r="AI60" s="82">
        <f>U60</f>
        <v>1706</v>
      </c>
      <c r="AJ60" s="82">
        <f>+U60</f>
        <v>1706</v>
      </c>
      <c r="AK60" s="56">
        <f t="shared" si="5"/>
        <v>13499.498216</v>
      </c>
      <c r="AL60" s="56">
        <f t="shared" si="5"/>
        <v>12954.592793</v>
      </c>
    </row>
    <row r="61" spans="1:38" ht="43.5" customHeight="1" x14ac:dyDescent="0.25">
      <c r="A61" s="171"/>
      <c r="B61" s="209"/>
      <c r="C61" s="209"/>
      <c r="D61" s="209"/>
      <c r="E61" s="209"/>
      <c r="F61" s="183" t="s">
        <v>183</v>
      </c>
      <c r="G61" s="12" t="s">
        <v>130</v>
      </c>
      <c r="H61" s="141"/>
      <c r="I61" s="13"/>
      <c r="J61" s="14">
        <v>0</v>
      </c>
      <c r="K61" s="14">
        <v>0</v>
      </c>
      <c r="L61" s="110"/>
      <c r="M61" s="27"/>
      <c r="N61" s="15"/>
      <c r="O61" s="82">
        <v>797</v>
      </c>
      <c r="P61" s="82">
        <v>797</v>
      </c>
      <c r="Q61" s="57">
        <f>279171937/L1</f>
        <v>279.17193700000001</v>
      </c>
      <c r="R61" s="27">
        <f>279171937/L1</f>
        <v>279.17193700000001</v>
      </c>
      <c r="T61" s="166">
        <v>437</v>
      </c>
      <c r="U61" s="157">
        <v>437</v>
      </c>
      <c r="V61" s="57">
        <f>477501590/L1</f>
        <v>477.50159000000002</v>
      </c>
      <c r="W61" s="57">
        <f>477501590/L1</f>
        <v>477.50159000000002</v>
      </c>
      <c r="X61" s="87"/>
      <c r="Y61" s="166">
        <v>104</v>
      </c>
      <c r="Z61" s="157">
        <v>104</v>
      </c>
      <c r="AA61" s="57">
        <f>446501192/L1</f>
        <v>446.501192</v>
      </c>
      <c r="AB61" s="170">
        <f>442234525/L1</f>
        <v>442.23452500000002</v>
      </c>
      <c r="AC61" s="87"/>
      <c r="AD61" s="82">
        <v>411</v>
      </c>
      <c r="AE61" s="82">
        <v>67</v>
      </c>
      <c r="AF61" s="57">
        <f>261485592/L1</f>
        <v>261.485592</v>
      </c>
      <c r="AG61" s="170">
        <f>110712141/L1</f>
        <v>110.712141</v>
      </c>
      <c r="AI61" s="82">
        <f>J61+O61+T61+Y61+AD61</f>
        <v>1749</v>
      </c>
      <c r="AJ61" s="82">
        <f t="shared" si="4"/>
        <v>1405</v>
      </c>
      <c r="AK61" s="56">
        <f t="shared" si="5"/>
        <v>1464.6603110000001</v>
      </c>
      <c r="AL61" s="56">
        <f t="shared" si="5"/>
        <v>1309.620193</v>
      </c>
    </row>
    <row r="62" spans="1:38" ht="109.5" customHeight="1" x14ac:dyDescent="0.25">
      <c r="A62" s="171"/>
      <c r="B62" s="209"/>
      <c r="C62" s="209"/>
      <c r="D62" s="209"/>
      <c r="E62" s="209"/>
      <c r="F62" s="12" t="s">
        <v>172</v>
      </c>
      <c r="G62" s="12" t="s">
        <v>130</v>
      </c>
      <c r="H62" s="141"/>
      <c r="I62" s="13"/>
      <c r="J62" s="14">
        <v>0</v>
      </c>
      <c r="K62" s="14">
        <v>0</v>
      </c>
      <c r="L62" s="110"/>
      <c r="M62" s="27"/>
      <c r="N62" s="15"/>
      <c r="O62" s="24">
        <v>1</v>
      </c>
      <c r="P62" s="127">
        <v>1</v>
      </c>
      <c r="Q62" s="57">
        <f>4077434183/L1</f>
        <v>4077.4341829999998</v>
      </c>
      <c r="R62" s="27">
        <f>4077434183/L1</f>
        <v>4077.4341829999998</v>
      </c>
      <c r="T62" s="24">
        <v>1</v>
      </c>
      <c r="U62" s="127">
        <v>1</v>
      </c>
      <c r="V62" s="57">
        <f>5557762193/L1</f>
        <v>5557.7621929999996</v>
      </c>
      <c r="W62" s="57">
        <f>5557762193/L1</f>
        <v>5557.7621929999996</v>
      </c>
      <c r="X62" s="87"/>
      <c r="Y62" s="24">
        <v>1</v>
      </c>
      <c r="Z62" s="24">
        <v>1</v>
      </c>
      <c r="AA62" s="57">
        <f>6322617397/L1</f>
        <v>6322.617397</v>
      </c>
      <c r="AB62" s="170">
        <f>6049359489/L1</f>
        <v>6049.3594890000004</v>
      </c>
      <c r="AC62" s="87"/>
      <c r="AD62" s="24">
        <v>1</v>
      </c>
      <c r="AE62" s="24">
        <v>1</v>
      </c>
      <c r="AF62" s="57">
        <f>4941439292/L1</f>
        <v>4941.439292</v>
      </c>
      <c r="AG62" s="158">
        <f>2090029554/L1</f>
        <v>2090.0295540000002</v>
      </c>
      <c r="AI62" s="89">
        <f>AD62</f>
        <v>1</v>
      </c>
      <c r="AJ62" s="127">
        <f>(P62+U62+Z62+AE62)/4</f>
        <v>1</v>
      </c>
      <c r="AK62" s="56">
        <f t="shared" si="5"/>
        <v>20899.253065000001</v>
      </c>
      <c r="AL62" s="56">
        <f t="shared" si="5"/>
        <v>17774.585418999999</v>
      </c>
    </row>
    <row r="63" spans="1:38" ht="76.5" customHeight="1" x14ac:dyDescent="0.25">
      <c r="A63" s="171"/>
      <c r="B63" s="209"/>
      <c r="C63" s="209"/>
      <c r="D63" s="209"/>
      <c r="E63" s="209"/>
      <c r="F63" s="12" t="s">
        <v>182</v>
      </c>
      <c r="G63" s="12" t="s">
        <v>130</v>
      </c>
      <c r="H63" s="141"/>
      <c r="I63" s="13"/>
      <c r="J63" s="14">
        <v>0</v>
      </c>
      <c r="K63" s="14">
        <v>0</v>
      </c>
      <c r="L63" s="110"/>
      <c r="M63" s="27"/>
      <c r="N63" s="15"/>
      <c r="O63" s="14">
        <v>0</v>
      </c>
      <c r="P63" s="14">
        <v>0</v>
      </c>
      <c r="Q63" s="57">
        <v>0</v>
      </c>
      <c r="R63" s="27">
        <v>0</v>
      </c>
      <c r="T63" s="136">
        <v>266</v>
      </c>
      <c r="U63" s="136">
        <v>266</v>
      </c>
      <c r="V63" s="57">
        <f>150000000/L1</f>
        <v>150</v>
      </c>
      <c r="W63" s="57">
        <f>149984130/L1</f>
        <v>149.98412999999999</v>
      </c>
      <c r="X63" s="87"/>
      <c r="Y63" s="136">
        <v>114</v>
      </c>
      <c r="Z63" s="136">
        <v>114</v>
      </c>
      <c r="AA63" s="57">
        <f>241316426/L1</f>
        <v>241.31642600000001</v>
      </c>
      <c r="AB63" s="170">
        <f>197602666/L1</f>
        <v>197.602666</v>
      </c>
      <c r="AC63" s="87"/>
      <c r="AD63" s="136">
        <v>117</v>
      </c>
      <c r="AE63" s="136">
        <v>54</v>
      </c>
      <c r="AF63" s="57">
        <f>458264000/L1</f>
        <v>458.26400000000001</v>
      </c>
      <c r="AG63" s="170">
        <f>148847620/L1</f>
        <v>148.84762000000001</v>
      </c>
      <c r="AI63" s="82">
        <f>J63+O63+T63+Y63+AD63</f>
        <v>497</v>
      </c>
      <c r="AJ63" s="82">
        <f t="shared" si="4"/>
        <v>434</v>
      </c>
      <c r="AK63" s="56">
        <f t="shared" si="5"/>
        <v>849.58042599999999</v>
      </c>
      <c r="AL63" s="56">
        <f t="shared" si="5"/>
        <v>496.434416</v>
      </c>
    </row>
    <row r="64" spans="1:38" ht="109.5" customHeight="1" x14ac:dyDescent="0.25">
      <c r="A64" s="171"/>
      <c r="B64" s="210"/>
      <c r="C64" s="210"/>
      <c r="D64" s="210"/>
      <c r="E64" s="210"/>
      <c r="F64" s="12" t="s">
        <v>179</v>
      </c>
      <c r="G64" s="12" t="s">
        <v>130</v>
      </c>
      <c r="H64" s="141"/>
      <c r="I64" s="13"/>
      <c r="J64" s="24">
        <v>0</v>
      </c>
      <c r="K64" s="24">
        <v>0</v>
      </c>
      <c r="L64" s="110"/>
      <c r="M64" s="27"/>
      <c r="N64" s="15"/>
      <c r="O64" s="24">
        <v>0</v>
      </c>
      <c r="P64" s="24">
        <v>0</v>
      </c>
      <c r="Q64" s="57">
        <v>0</v>
      </c>
      <c r="R64" s="27">
        <v>0</v>
      </c>
      <c r="T64" s="24">
        <v>1</v>
      </c>
      <c r="U64" s="24">
        <v>1</v>
      </c>
      <c r="V64" s="57">
        <f>992287113/L1</f>
        <v>992.28711299999998</v>
      </c>
      <c r="W64" s="57">
        <f>991221015/L1</f>
        <v>991.22101499999997</v>
      </c>
      <c r="X64" s="87"/>
      <c r="Y64" s="24">
        <v>1</v>
      </c>
      <c r="Z64" s="24">
        <v>0.91669999999999996</v>
      </c>
      <c r="AA64" s="57">
        <f>3488109455/L1</f>
        <v>3488.1094549999998</v>
      </c>
      <c r="AB64" s="170">
        <f>3439501314/L1</f>
        <v>3439.5013140000001</v>
      </c>
      <c r="AC64" s="87"/>
      <c r="AD64" s="24">
        <v>1</v>
      </c>
      <c r="AE64" s="24">
        <v>0.5</v>
      </c>
      <c r="AF64" s="57">
        <f>7423752000/L1</f>
        <v>7423.7520000000004</v>
      </c>
      <c r="AG64" s="170">
        <f>1113853489/L1</f>
        <v>1113.8534890000001</v>
      </c>
      <c r="AI64" s="89">
        <f>AD64</f>
        <v>1</v>
      </c>
      <c r="AJ64" s="107">
        <f>(+Z64+U64+AE64)/3</f>
        <v>0.80556666666666665</v>
      </c>
      <c r="AK64" s="56">
        <f t="shared" si="5"/>
        <v>11904.148568000001</v>
      </c>
      <c r="AL64" s="56">
        <f t="shared" si="5"/>
        <v>5544.5758180000003</v>
      </c>
    </row>
    <row r="65" spans="1:38" ht="109.5" customHeight="1" x14ac:dyDescent="0.25">
      <c r="A65" s="171"/>
      <c r="B65" s="188"/>
      <c r="C65" s="188"/>
      <c r="D65" s="188"/>
      <c r="E65" s="188"/>
      <c r="F65" s="12" t="s">
        <v>188</v>
      </c>
      <c r="G65" s="12" t="s">
        <v>130</v>
      </c>
      <c r="H65" s="141"/>
      <c r="I65" s="13"/>
      <c r="J65" s="57"/>
      <c r="K65" s="24"/>
      <c r="L65" s="110"/>
      <c r="M65" s="27"/>
      <c r="N65" s="15"/>
      <c r="O65" s="24"/>
      <c r="P65" s="24"/>
      <c r="Q65" s="57"/>
      <c r="R65" s="27"/>
      <c r="T65" s="24"/>
      <c r="U65" s="24"/>
      <c r="V65" s="57"/>
      <c r="W65" s="57"/>
      <c r="X65" s="87"/>
      <c r="Y65" s="24">
        <v>1</v>
      </c>
      <c r="Z65" s="24">
        <v>0</v>
      </c>
      <c r="AA65" s="57">
        <f>865285153/L1</f>
        <v>865.28515300000004</v>
      </c>
      <c r="AB65" s="56">
        <f>864820021/L1</f>
        <v>864.820021</v>
      </c>
      <c r="AC65" s="87"/>
      <c r="AD65" s="24">
        <v>1</v>
      </c>
      <c r="AE65" s="24">
        <v>0.4</v>
      </c>
      <c r="AF65" s="57">
        <f>809674416/L1</f>
        <v>809.67441599999995</v>
      </c>
      <c r="AG65" s="170">
        <v>0</v>
      </c>
      <c r="AI65" s="89">
        <f>AD65</f>
        <v>1</v>
      </c>
      <c r="AJ65" s="107">
        <f>+AE65</f>
        <v>0.4</v>
      </c>
      <c r="AK65" s="56">
        <f t="shared" ref="AK65" si="6">L65+Q65+V65+AA65+AF65</f>
        <v>1674.9595690000001</v>
      </c>
      <c r="AL65" s="56">
        <f t="shared" ref="AL65" si="7">M65+R65+W65+AB65+AG65</f>
        <v>864.820021</v>
      </c>
    </row>
    <row r="67" spans="1:38" s="6" customFormat="1" ht="15.75" x14ac:dyDescent="0.25">
      <c r="A67" s="164"/>
      <c r="B67" s="62" t="s">
        <v>102</v>
      </c>
      <c r="C67" s="62"/>
      <c r="D67" s="62"/>
      <c r="E67" s="62"/>
      <c r="F67" s="37"/>
      <c r="G67" s="37"/>
      <c r="H67" s="37"/>
      <c r="I67" s="38"/>
      <c r="J67" s="39"/>
      <c r="K67" s="39"/>
      <c r="L67" s="111">
        <f>SUM(L57:L65)</f>
        <v>11708.594607000001</v>
      </c>
      <c r="M67" s="111">
        <f>SUM(M57:M65)</f>
        <v>10451.933638999999</v>
      </c>
      <c r="N67" s="41"/>
      <c r="O67" s="39"/>
      <c r="P67" s="39"/>
      <c r="Q67" s="111">
        <f>SUM(Q57:Q65)</f>
        <v>23664.095000000001</v>
      </c>
      <c r="R67" s="111">
        <f>SUM(R57:R65)</f>
        <v>23514.040919000003</v>
      </c>
      <c r="T67" s="39"/>
      <c r="U67" s="39"/>
      <c r="V67" s="111">
        <f>SUM(V57:V65)</f>
        <v>34263.634844</v>
      </c>
      <c r="W67" s="111">
        <f>SUM(W57:W65)</f>
        <v>34035.025129999995</v>
      </c>
      <c r="Y67" s="39"/>
      <c r="Z67" s="39"/>
      <c r="AA67" s="111">
        <f>SUM(AA57:AA65)</f>
        <v>17844.163</v>
      </c>
      <c r="AB67" s="111">
        <f>SUM(AB57:AB65)</f>
        <v>17473.851392</v>
      </c>
      <c r="AD67" s="39"/>
      <c r="AE67" s="40"/>
      <c r="AF67" s="111">
        <f>SUM(AF57:AF65)</f>
        <v>17375.168300000001</v>
      </c>
      <c r="AG67" s="111">
        <f>SUM(AG57:AG65)</f>
        <v>3463.4428040000003</v>
      </c>
      <c r="AI67" s="85"/>
      <c r="AJ67" s="85"/>
      <c r="AK67" s="111">
        <f>SUM(AK57:AK65)</f>
        <v>104855.655751</v>
      </c>
      <c r="AL67" s="111">
        <f>SUM(AL57:AL65)</f>
        <v>88938.293884000013</v>
      </c>
    </row>
    <row r="69" spans="1:38" s="143" customFormat="1" ht="15.75" customHeight="1" x14ac:dyDescent="0.2">
      <c r="A69" s="237"/>
      <c r="B69" s="237"/>
      <c r="C69" s="237"/>
      <c r="D69" s="237"/>
      <c r="E69" s="237"/>
      <c r="F69" s="237"/>
      <c r="G69" s="237"/>
      <c r="H69" s="237"/>
      <c r="I69" s="237"/>
      <c r="J69" s="237"/>
      <c r="K69" s="237"/>
      <c r="L69" s="237"/>
      <c r="M69" s="237"/>
      <c r="N69" s="237"/>
      <c r="O69" s="237"/>
      <c r="P69" s="237"/>
      <c r="Q69" s="237"/>
      <c r="R69" s="237"/>
      <c r="S69" s="237"/>
      <c r="T69" s="237"/>
      <c r="U69" s="237"/>
      <c r="V69" s="237"/>
      <c r="W69" s="237"/>
      <c r="X69" s="237"/>
      <c r="Y69" s="237"/>
      <c r="Z69" s="237"/>
      <c r="AA69" s="237"/>
      <c r="AB69" s="237"/>
      <c r="AC69" s="237"/>
      <c r="AD69" s="237"/>
      <c r="AE69" s="237"/>
      <c r="AF69" s="237"/>
      <c r="AG69" s="237"/>
      <c r="AH69" s="237"/>
      <c r="AI69" s="237"/>
      <c r="AJ69" s="237"/>
      <c r="AK69" s="237"/>
      <c r="AL69" s="237"/>
    </row>
    <row r="70" spans="1:38" s="142" customFormat="1" ht="12.75" x14ac:dyDescent="0.2">
      <c r="A70" s="144"/>
      <c r="B70" s="145"/>
      <c r="C70" s="145"/>
      <c r="D70" s="145"/>
      <c r="E70" s="145"/>
      <c r="F70" s="145"/>
      <c r="G70" s="145"/>
      <c r="H70" s="145"/>
      <c r="I70" s="146"/>
      <c r="J70" s="144"/>
      <c r="K70" s="146"/>
      <c r="L70" s="147"/>
      <c r="M70" s="146"/>
      <c r="N70" s="146"/>
      <c r="O70" s="146"/>
      <c r="P70" s="146"/>
      <c r="Q70" s="146"/>
      <c r="R70" s="146"/>
      <c r="T70" s="148"/>
      <c r="U70" s="148"/>
      <c r="V70" s="148"/>
      <c r="W70" s="148"/>
      <c r="Y70" s="148"/>
      <c r="Z70" s="148"/>
      <c r="AA70" s="148"/>
      <c r="AB70" s="148"/>
      <c r="AD70" s="146"/>
      <c r="AE70" s="146"/>
      <c r="AF70" s="148"/>
      <c r="AG70" s="148"/>
      <c r="AI70" s="149"/>
      <c r="AJ70" s="149"/>
      <c r="AK70" s="149"/>
      <c r="AL70" s="150"/>
    </row>
    <row r="71" spans="1:38" x14ac:dyDescent="0.25">
      <c r="A71" s="101">
        <v>1</v>
      </c>
      <c r="B71" s="90" t="s">
        <v>93</v>
      </c>
      <c r="C71" s="231" t="s">
        <v>112</v>
      </c>
      <c r="D71" s="231"/>
      <c r="E71" s="231"/>
      <c r="F71" s="231"/>
      <c r="G71" s="231"/>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1"/>
      <c r="AJ71" s="231"/>
      <c r="AK71" s="231"/>
      <c r="AL71" s="231"/>
    </row>
    <row r="72" spans="1:38" x14ac:dyDescent="0.25">
      <c r="A72" s="50">
        <v>8</v>
      </c>
      <c r="B72" s="6" t="s">
        <v>155</v>
      </c>
      <c r="C72" s="231" t="s">
        <v>156</v>
      </c>
      <c r="D72" s="231"/>
      <c r="E72" s="231"/>
      <c r="F72" s="231"/>
      <c r="G72" s="231"/>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H72" s="231"/>
      <c r="AI72" s="231"/>
      <c r="AJ72" s="231"/>
      <c r="AK72" s="231"/>
      <c r="AL72" s="231"/>
    </row>
    <row r="73" spans="1:38" x14ac:dyDescent="0.25">
      <c r="A73" s="50">
        <v>19</v>
      </c>
      <c r="B73" s="6" t="s">
        <v>94</v>
      </c>
      <c r="C73" s="231" t="s">
        <v>154</v>
      </c>
      <c r="D73" s="231"/>
      <c r="E73" s="231"/>
      <c r="F73" s="231"/>
      <c r="G73" s="231"/>
      <c r="H73" s="231"/>
      <c r="I73" s="231"/>
      <c r="J73" s="231"/>
      <c r="K73" s="231"/>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row>
    <row r="74" spans="1:38" ht="30" x14ac:dyDescent="0.25">
      <c r="A74" s="50">
        <v>3</v>
      </c>
      <c r="B74" s="91" t="s">
        <v>97</v>
      </c>
      <c r="C74" s="231" t="s">
        <v>113</v>
      </c>
      <c r="D74" s="231"/>
      <c r="E74" s="231"/>
      <c r="F74" s="231"/>
      <c r="G74" s="231"/>
      <c r="H74" s="231"/>
      <c r="I74" s="231"/>
      <c r="J74" s="231"/>
      <c r="K74" s="231"/>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row>
    <row r="76" spans="1:38" s="10" customFormat="1" ht="27" customHeight="1" x14ac:dyDescent="0.25">
      <c r="A76" s="202" t="s">
        <v>2</v>
      </c>
      <c r="B76" s="196" t="s">
        <v>3</v>
      </c>
      <c r="C76" s="235" t="s">
        <v>86</v>
      </c>
      <c r="D76" s="196" t="s">
        <v>66</v>
      </c>
      <c r="E76" s="235" t="s">
        <v>167</v>
      </c>
      <c r="F76" s="199" t="s">
        <v>100</v>
      </c>
      <c r="G76" s="245" t="s">
        <v>89</v>
      </c>
      <c r="H76" s="192" t="s">
        <v>168</v>
      </c>
      <c r="I76" s="9"/>
      <c r="J76" s="192">
        <v>2020</v>
      </c>
      <c r="K76" s="192"/>
      <c r="L76" s="192"/>
      <c r="M76" s="192"/>
      <c r="N76" s="9"/>
      <c r="O76" s="192">
        <v>2021</v>
      </c>
      <c r="P76" s="192"/>
      <c r="Q76" s="192"/>
      <c r="R76" s="192"/>
      <c r="T76" s="192">
        <v>2022</v>
      </c>
      <c r="U76" s="192"/>
      <c r="V76" s="192"/>
      <c r="W76" s="192"/>
      <c r="Y76" s="192">
        <v>2023</v>
      </c>
      <c r="Z76" s="192"/>
      <c r="AA76" s="192"/>
      <c r="AB76" s="192"/>
      <c r="AD76" s="213">
        <v>2024</v>
      </c>
      <c r="AE76" s="214"/>
      <c r="AF76" s="214"/>
      <c r="AG76" s="214"/>
      <c r="AI76" s="246" t="s">
        <v>101</v>
      </c>
      <c r="AJ76" s="246"/>
      <c r="AK76" s="246"/>
      <c r="AL76" s="246"/>
    </row>
    <row r="77" spans="1:38" s="10" customFormat="1" ht="16.5" customHeight="1" x14ac:dyDescent="0.25">
      <c r="A77" s="203"/>
      <c r="B77" s="197"/>
      <c r="C77" s="200"/>
      <c r="D77" s="197"/>
      <c r="E77" s="200"/>
      <c r="F77" s="200"/>
      <c r="G77" s="245"/>
      <c r="H77" s="192"/>
      <c r="I77" s="9"/>
      <c r="J77" s="192" t="s">
        <v>4</v>
      </c>
      <c r="K77" s="192"/>
      <c r="L77" s="192" t="s">
        <v>61</v>
      </c>
      <c r="M77" s="192"/>
      <c r="N77" s="9"/>
      <c r="O77" s="192" t="s">
        <v>6</v>
      </c>
      <c r="P77" s="192"/>
      <c r="Q77" s="192" t="s">
        <v>8</v>
      </c>
      <c r="R77" s="192"/>
      <c r="S77" s="9"/>
      <c r="T77" s="192" t="s">
        <v>7</v>
      </c>
      <c r="U77" s="192"/>
      <c r="V77" s="192" t="s">
        <v>8</v>
      </c>
      <c r="W77" s="192"/>
      <c r="Y77" s="192" t="s">
        <v>7</v>
      </c>
      <c r="Z77" s="192"/>
      <c r="AA77" s="192" t="s">
        <v>8</v>
      </c>
      <c r="AB77" s="192"/>
      <c r="AD77" s="192" t="s">
        <v>7</v>
      </c>
      <c r="AE77" s="192"/>
      <c r="AF77" s="192" t="s">
        <v>8</v>
      </c>
      <c r="AG77" s="192"/>
      <c r="AI77" s="235" t="s">
        <v>4</v>
      </c>
      <c r="AJ77" s="235" t="s">
        <v>65</v>
      </c>
      <c r="AK77" s="235" t="s">
        <v>8</v>
      </c>
      <c r="AL77" s="235" t="s">
        <v>5</v>
      </c>
    </row>
    <row r="78" spans="1:38" s="10" customFormat="1" ht="30" x14ac:dyDescent="0.25">
      <c r="A78" s="204"/>
      <c r="B78" s="198"/>
      <c r="C78" s="236"/>
      <c r="D78" s="198"/>
      <c r="E78" s="236"/>
      <c r="F78" s="201"/>
      <c r="G78" s="245"/>
      <c r="H78" s="192"/>
      <c r="I78" s="11"/>
      <c r="J78" s="61" t="s">
        <v>59</v>
      </c>
      <c r="K78" s="61" t="s">
        <v>60</v>
      </c>
      <c r="L78" s="152" t="s">
        <v>63</v>
      </c>
      <c r="M78" s="61" t="s">
        <v>62</v>
      </c>
      <c r="N78" s="11"/>
      <c r="O78" s="153" t="s">
        <v>59</v>
      </c>
      <c r="P78" s="61" t="s">
        <v>60</v>
      </c>
      <c r="Q78" s="153" t="s">
        <v>63</v>
      </c>
      <c r="R78" s="61" t="s">
        <v>62</v>
      </c>
      <c r="S78" s="9"/>
      <c r="T78" s="153" t="s">
        <v>59</v>
      </c>
      <c r="U78" s="61" t="s">
        <v>60</v>
      </c>
      <c r="V78" s="61" t="s">
        <v>63</v>
      </c>
      <c r="W78" s="61" t="s">
        <v>62</v>
      </c>
      <c r="Y78" s="61" t="s">
        <v>59</v>
      </c>
      <c r="Z78" s="61" t="s">
        <v>60</v>
      </c>
      <c r="AA78" s="61" t="s">
        <v>63</v>
      </c>
      <c r="AB78" s="61" t="s">
        <v>62</v>
      </c>
      <c r="AD78" s="61" t="s">
        <v>59</v>
      </c>
      <c r="AE78" s="61" t="s">
        <v>60</v>
      </c>
      <c r="AF78" s="61" t="s">
        <v>63</v>
      </c>
      <c r="AG78" s="61" t="s">
        <v>62</v>
      </c>
      <c r="AI78" s="236"/>
      <c r="AJ78" s="236"/>
      <c r="AK78" s="236"/>
      <c r="AL78" s="236"/>
    </row>
    <row r="79" spans="1:38" ht="75.75" customHeight="1" x14ac:dyDescent="0.25">
      <c r="A79" s="243" t="s">
        <v>131</v>
      </c>
      <c r="B79" s="208" t="s">
        <v>132</v>
      </c>
      <c r="C79" s="208" t="s">
        <v>87</v>
      </c>
      <c r="D79" s="208" t="s">
        <v>152</v>
      </c>
      <c r="E79" s="238" t="str">
        <f>C72</f>
        <v xml:space="preserve">Aumentar el acceso a vivienda digna, espacio público y equipamientos de la población vulnerable en suelo urbano y rural </v>
      </c>
      <c r="F79" s="100" t="s">
        <v>164</v>
      </c>
      <c r="G79" s="100" t="s">
        <v>171</v>
      </c>
      <c r="H79" s="241" t="str">
        <f>C74</f>
        <v>Sistema Distrital de cuidado</v>
      </c>
      <c r="I79" s="13"/>
      <c r="J79" s="106">
        <v>17305.599999999999</v>
      </c>
      <c r="K79" s="93">
        <v>17000</v>
      </c>
      <c r="L79" s="109"/>
      <c r="M79" s="94"/>
      <c r="N79" s="95"/>
      <c r="O79" s="93">
        <v>14571</v>
      </c>
      <c r="P79" s="93">
        <v>14571</v>
      </c>
      <c r="Q79" s="94"/>
      <c r="R79" s="94"/>
      <c r="S79" s="160"/>
      <c r="T79" s="103">
        <v>40000</v>
      </c>
      <c r="U79" s="103">
        <v>38899</v>
      </c>
      <c r="V79" s="155"/>
      <c r="W79" s="156"/>
      <c r="X79" s="97"/>
      <c r="Y79" s="185">
        <v>10518</v>
      </c>
      <c r="Z79" s="185">
        <v>10518</v>
      </c>
      <c r="AA79" s="155"/>
      <c r="AB79" s="156"/>
      <c r="AC79" s="97"/>
      <c r="AD79" s="103">
        <v>19012</v>
      </c>
      <c r="AE79" s="104">
        <v>15143</v>
      </c>
      <c r="AF79" s="155"/>
      <c r="AG79" s="156"/>
      <c r="AH79" s="160"/>
      <c r="AI79" s="104">
        <f>J79+O79+T79+Y79+AD79-1407</f>
        <v>99999.6</v>
      </c>
      <c r="AJ79" s="104">
        <f t="shared" ref="AJ79:AL80" si="8">K79+P79+U79+Z79+AE79</f>
        <v>96131</v>
      </c>
      <c r="AK79" s="99">
        <f t="shared" si="8"/>
        <v>0</v>
      </c>
      <c r="AL79" s="99">
        <f t="shared" si="8"/>
        <v>0</v>
      </c>
    </row>
    <row r="80" spans="1:38" ht="43.5" customHeight="1" x14ac:dyDescent="0.25">
      <c r="A80" s="244"/>
      <c r="B80" s="209"/>
      <c r="C80" s="209"/>
      <c r="D80" s="209"/>
      <c r="E80" s="239"/>
      <c r="F80" s="12" t="s">
        <v>178</v>
      </c>
      <c r="G80" s="12" t="s">
        <v>133</v>
      </c>
      <c r="H80" s="242"/>
      <c r="I80" s="13"/>
      <c r="J80" s="105">
        <v>17305.599999999999</v>
      </c>
      <c r="K80" s="88">
        <v>17000</v>
      </c>
      <c r="L80" s="112">
        <f>3602795429/L1</f>
        <v>3602.7954289999998</v>
      </c>
      <c r="M80" s="27">
        <v>3501.5279959999998</v>
      </c>
      <c r="N80" s="15"/>
      <c r="O80" s="88">
        <v>14571</v>
      </c>
      <c r="P80" s="88">
        <v>14571</v>
      </c>
      <c r="Q80" s="57">
        <v>61555</v>
      </c>
      <c r="R80" s="57">
        <v>56013</v>
      </c>
      <c r="T80" s="82">
        <v>40000</v>
      </c>
      <c r="U80" s="82">
        <v>38899</v>
      </c>
      <c r="V80" s="57">
        <f>18750560550/L1</f>
        <v>18750.560549999998</v>
      </c>
      <c r="W80" s="57">
        <f>18722560550/L1</f>
        <v>18722.560549999998</v>
      </c>
      <c r="X80" s="87"/>
      <c r="Y80" s="82">
        <f>+Y79</f>
        <v>10518</v>
      </c>
      <c r="Z80" s="186">
        <f>+Z79</f>
        <v>10518</v>
      </c>
      <c r="AA80" s="57">
        <f>14361427344/L1</f>
        <v>14361.427344</v>
      </c>
      <c r="AB80" s="158">
        <f>13608437847/L1</f>
        <v>13608.437846999999</v>
      </c>
      <c r="AC80" s="87"/>
      <c r="AD80" s="82">
        <f>+AD79</f>
        <v>19012</v>
      </c>
      <c r="AE80" s="82">
        <f>+AE79</f>
        <v>15143</v>
      </c>
      <c r="AF80" s="57">
        <f>4100000000/L1</f>
        <v>4100</v>
      </c>
      <c r="AG80" s="158">
        <f>373582317/L1</f>
        <v>373.58231699999999</v>
      </c>
      <c r="AI80" s="82">
        <f>J80+O80+T80+Y80+AD80-1407</f>
        <v>99999.6</v>
      </c>
      <c r="AJ80" s="82">
        <f t="shared" si="8"/>
        <v>96131</v>
      </c>
      <c r="AK80" s="56">
        <f t="shared" si="8"/>
        <v>102369.783323</v>
      </c>
      <c r="AL80" s="56">
        <f t="shared" si="8"/>
        <v>92219.108709999986</v>
      </c>
    </row>
    <row r="81" spans="1:38" ht="30" x14ac:dyDescent="0.25">
      <c r="A81" s="244"/>
      <c r="B81" s="209"/>
      <c r="C81" s="209"/>
      <c r="D81" s="209"/>
      <c r="E81" s="239"/>
      <c r="F81" s="12" t="s">
        <v>134</v>
      </c>
      <c r="G81" s="12" t="s">
        <v>133</v>
      </c>
      <c r="H81" s="242"/>
      <c r="I81" s="13"/>
      <c r="J81" s="24">
        <v>1</v>
      </c>
      <c r="K81" s="107">
        <v>0.96689999999999998</v>
      </c>
      <c r="L81" s="110">
        <f>1600000000/L1</f>
        <v>1600</v>
      </c>
      <c r="M81" s="27">
        <v>1435.632384</v>
      </c>
      <c r="N81" s="15"/>
      <c r="O81" s="24">
        <v>1</v>
      </c>
      <c r="P81" s="107">
        <v>0.97250000000000003</v>
      </c>
      <c r="Q81" s="57">
        <v>5840</v>
      </c>
      <c r="R81" s="57">
        <v>5444</v>
      </c>
      <c r="T81" s="174">
        <v>1</v>
      </c>
      <c r="U81" s="89">
        <v>0.94579999999999997</v>
      </c>
      <c r="V81" s="57">
        <f>4799456606/L1</f>
        <v>4799.4566059999997</v>
      </c>
      <c r="W81" s="57">
        <f>4638243827/L1</f>
        <v>4638.2438270000002</v>
      </c>
      <c r="X81" s="87"/>
      <c r="Y81" s="162">
        <v>1</v>
      </c>
      <c r="Z81" s="162">
        <v>0.95250000000000001</v>
      </c>
      <c r="AA81" s="57">
        <f>10983135656/L1</f>
        <v>10983.135656</v>
      </c>
      <c r="AB81" s="158">
        <f>8672589083/L1</f>
        <v>8672.5890830000008</v>
      </c>
      <c r="AC81" s="87"/>
      <c r="AD81" s="89">
        <v>1</v>
      </c>
      <c r="AE81" s="89">
        <v>1</v>
      </c>
      <c r="AF81" s="57">
        <f>12560557000/L1</f>
        <v>12560.557000000001</v>
      </c>
      <c r="AG81" s="158">
        <f>3980639594/L1</f>
        <v>3980.6395940000002</v>
      </c>
      <c r="AI81" s="89">
        <f>AD81</f>
        <v>1</v>
      </c>
      <c r="AJ81" s="89">
        <f>(+Z81+U81+AE81+P81+K81)/5</f>
        <v>0.96753999999999996</v>
      </c>
      <c r="AK81" s="56">
        <f>L81+Q81+V81+AA81+AF81</f>
        <v>35783.149261999999</v>
      </c>
      <c r="AL81" s="56">
        <f>M81+R81+W81+AB81+AG81</f>
        <v>24171.104888000002</v>
      </c>
    </row>
    <row r="82" spans="1:38" s="6" customFormat="1" ht="15.75" x14ac:dyDescent="0.25">
      <c r="A82" s="164"/>
      <c r="B82" s="62" t="s">
        <v>102</v>
      </c>
      <c r="C82" s="62"/>
      <c r="D82" s="62"/>
      <c r="E82" s="62"/>
      <c r="F82" s="37"/>
      <c r="G82" s="37"/>
      <c r="H82" s="37"/>
      <c r="I82" s="38"/>
      <c r="J82" s="39"/>
      <c r="K82" s="39"/>
      <c r="L82" s="111">
        <f>SUM(L79:L81)</f>
        <v>5202.7954289999998</v>
      </c>
      <c r="M82" s="40">
        <f>SUM(M79:M81)</f>
        <v>4937.1603799999993</v>
      </c>
      <c r="N82" s="41"/>
      <c r="O82" s="39"/>
      <c r="P82" s="39"/>
      <c r="Q82" s="40">
        <f>SUM(Q79:Q81)</f>
        <v>67395</v>
      </c>
      <c r="R82" s="40">
        <f>SUM(R79:R81)</f>
        <v>61457</v>
      </c>
      <c r="T82" s="39"/>
      <c r="U82" s="39"/>
      <c r="V82" s="40">
        <f>SUM(V79:V81)</f>
        <v>23550.017155999998</v>
      </c>
      <c r="W82" s="40">
        <f>SUM(W79:W81)</f>
        <v>23360.804377</v>
      </c>
      <c r="Y82" s="39"/>
      <c r="Z82" s="39"/>
      <c r="AA82" s="40">
        <f>SUM(AA79:AA81)</f>
        <v>25344.563000000002</v>
      </c>
      <c r="AB82" s="40">
        <f>SUM(AB79:AB81)</f>
        <v>22281.02693</v>
      </c>
      <c r="AD82" s="39"/>
      <c r="AE82" s="40"/>
      <c r="AF82" s="40">
        <f>SUM(AF79:AF81)</f>
        <v>16660.557000000001</v>
      </c>
      <c r="AG82" s="40">
        <f>SUM(AG79:AG81)</f>
        <v>4354.2219110000005</v>
      </c>
      <c r="AI82" s="85"/>
      <c r="AJ82" s="85"/>
      <c r="AK82" s="58">
        <f>SUM(AK79:AK81)</f>
        <v>138152.932585</v>
      </c>
      <c r="AL82" s="58">
        <f>SUM(AL79:AL81)</f>
        <v>116390.21359799999</v>
      </c>
    </row>
    <row r="84" spans="1:38" s="143" customFormat="1" ht="15.75" customHeight="1" x14ac:dyDescent="0.2">
      <c r="A84" s="237"/>
      <c r="B84" s="237"/>
      <c r="C84" s="237"/>
      <c r="D84" s="237"/>
      <c r="E84" s="237"/>
      <c r="F84" s="237"/>
      <c r="G84" s="237"/>
      <c r="H84" s="237"/>
      <c r="I84" s="237"/>
      <c r="J84" s="237"/>
      <c r="K84" s="237"/>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row>
    <row r="85" spans="1:38" s="142" customFormat="1" ht="12.75" x14ac:dyDescent="0.2">
      <c r="A85" s="144"/>
      <c r="B85" s="145"/>
      <c r="C85" s="145"/>
      <c r="D85" s="145"/>
      <c r="E85" s="145"/>
      <c r="F85" s="145"/>
      <c r="G85" s="145"/>
      <c r="H85" s="145"/>
      <c r="I85" s="146"/>
      <c r="J85" s="144"/>
      <c r="K85" s="146"/>
      <c r="L85" s="147"/>
      <c r="M85" s="146"/>
      <c r="N85" s="146"/>
      <c r="O85" s="146"/>
      <c r="P85" s="146"/>
      <c r="Q85" s="146"/>
      <c r="R85" s="146"/>
      <c r="T85" s="148"/>
      <c r="U85" s="148"/>
      <c r="V85" s="148"/>
      <c r="W85" s="148"/>
      <c r="Y85" s="148"/>
      <c r="Z85" s="148"/>
      <c r="AA85" s="148"/>
      <c r="AB85" s="148"/>
      <c r="AD85" s="146"/>
      <c r="AE85" s="146"/>
      <c r="AF85" s="148"/>
      <c r="AG85" s="148"/>
      <c r="AI85" s="149"/>
      <c r="AJ85" s="149"/>
      <c r="AK85" s="149"/>
      <c r="AL85" s="150"/>
    </row>
    <row r="86" spans="1:38" x14ac:dyDescent="0.25">
      <c r="A86" s="101">
        <v>5</v>
      </c>
      <c r="B86" s="90" t="s">
        <v>93</v>
      </c>
      <c r="C86" s="231" t="s">
        <v>163</v>
      </c>
      <c r="D86" s="231"/>
      <c r="E86" s="231"/>
      <c r="F86" s="231"/>
      <c r="G86" s="231"/>
      <c r="H86" s="231"/>
      <c r="I86" s="231"/>
      <c r="J86" s="231"/>
      <c r="K86" s="231"/>
      <c r="L86" s="231"/>
      <c r="M86" s="231"/>
      <c r="N86" s="231"/>
      <c r="O86" s="231"/>
      <c r="P86" s="231"/>
      <c r="Q86" s="231"/>
      <c r="R86" s="231"/>
      <c r="S86" s="231"/>
      <c r="T86" s="231"/>
      <c r="U86" s="231"/>
      <c r="V86" s="231"/>
      <c r="W86" s="231"/>
      <c r="X86" s="231"/>
      <c r="Y86" s="231"/>
      <c r="Z86" s="231"/>
      <c r="AA86" s="231"/>
      <c r="AB86" s="231"/>
      <c r="AC86" s="231"/>
      <c r="AD86" s="231"/>
      <c r="AE86" s="231"/>
      <c r="AF86" s="231"/>
      <c r="AG86" s="231"/>
      <c r="AH86" s="231"/>
      <c r="AI86" s="231"/>
      <c r="AJ86" s="231"/>
      <c r="AK86" s="231"/>
      <c r="AL86" s="231"/>
    </row>
    <row r="87" spans="1:38" x14ac:dyDescent="0.25">
      <c r="A87" s="50">
        <v>30</v>
      </c>
      <c r="B87" s="6" t="s">
        <v>155</v>
      </c>
      <c r="C87" s="231" t="s">
        <v>175</v>
      </c>
      <c r="D87" s="231"/>
      <c r="E87" s="231"/>
      <c r="F87" s="231"/>
      <c r="G87" s="231"/>
      <c r="H87" s="231"/>
      <c r="I87" s="231"/>
      <c r="J87" s="231"/>
      <c r="K87" s="231"/>
      <c r="L87" s="231"/>
      <c r="M87" s="231"/>
      <c r="N87" s="231"/>
      <c r="O87" s="231"/>
      <c r="P87" s="231"/>
      <c r="Q87" s="231"/>
      <c r="R87" s="231"/>
      <c r="S87" s="231"/>
      <c r="T87" s="231"/>
      <c r="U87" s="231"/>
      <c r="V87" s="231"/>
      <c r="W87" s="231"/>
      <c r="X87" s="231"/>
      <c r="Y87" s="231"/>
      <c r="Z87" s="231"/>
      <c r="AA87" s="231"/>
      <c r="AB87" s="231"/>
      <c r="AC87" s="231"/>
      <c r="AD87" s="231"/>
      <c r="AE87" s="231"/>
      <c r="AF87" s="231"/>
      <c r="AG87" s="231"/>
      <c r="AH87" s="231"/>
      <c r="AI87" s="231"/>
      <c r="AJ87" s="231"/>
      <c r="AK87" s="231"/>
      <c r="AL87" s="231"/>
    </row>
    <row r="88" spans="1:38" x14ac:dyDescent="0.25">
      <c r="A88" s="50">
        <v>56</v>
      </c>
      <c r="B88" s="6" t="s">
        <v>94</v>
      </c>
      <c r="C88" s="231" t="s">
        <v>135</v>
      </c>
      <c r="D88" s="231"/>
      <c r="E88" s="231"/>
      <c r="F88" s="231"/>
      <c r="G88" s="231"/>
      <c r="H88" s="231"/>
      <c r="I88" s="231"/>
      <c r="J88" s="231"/>
      <c r="K88" s="231"/>
      <c r="L88" s="231"/>
      <c r="M88" s="231"/>
      <c r="N88" s="231"/>
      <c r="O88" s="231"/>
      <c r="P88" s="231"/>
      <c r="Q88" s="231"/>
      <c r="R88" s="231"/>
      <c r="S88" s="231"/>
      <c r="T88" s="231"/>
      <c r="U88" s="231"/>
      <c r="V88" s="231"/>
      <c r="W88" s="231"/>
      <c r="X88" s="231"/>
      <c r="Y88" s="231"/>
      <c r="Z88" s="231"/>
      <c r="AA88" s="231"/>
      <c r="AB88" s="231"/>
      <c r="AC88" s="231"/>
      <c r="AD88" s="231"/>
      <c r="AE88" s="231"/>
      <c r="AF88" s="231"/>
      <c r="AG88" s="231"/>
      <c r="AH88" s="231"/>
      <c r="AI88" s="231"/>
      <c r="AJ88" s="231"/>
      <c r="AK88" s="231"/>
      <c r="AL88" s="231"/>
    </row>
    <row r="89" spans="1:38" ht="30" x14ac:dyDescent="0.25">
      <c r="A89" s="50"/>
      <c r="B89" s="91" t="s">
        <v>97</v>
      </c>
      <c r="C89" s="231" t="s">
        <v>136</v>
      </c>
      <c r="D89" s="231"/>
      <c r="E89" s="231"/>
      <c r="F89" s="231"/>
      <c r="G89" s="231"/>
      <c r="H89" s="231"/>
      <c r="I89" s="231"/>
      <c r="J89" s="231"/>
      <c r="K89" s="231"/>
      <c r="L89" s="231"/>
      <c r="M89" s="231"/>
      <c r="N89" s="231"/>
      <c r="O89" s="231"/>
      <c r="P89" s="231"/>
      <c r="Q89" s="231"/>
      <c r="R89" s="231"/>
      <c r="S89" s="231"/>
      <c r="T89" s="231"/>
      <c r="U89" s="231"/>
      <c r="V89" s="231"/>
      <c r="W89" s="231"/>
      <c r="X89" s="231"/>
      <c r="Y89" s="231"/>
      <c r="Z89" s="231"/>
      <c r="AA89" s="231"/>
      <c r="AB89" s="231"/>
      <c r="AC89" s="231"/>
      <c r="AD89" s="231"/>
      <c r="AE89" s="231"/>
      <c r="AF89" s="231"/>
      <c r="AG89" s="231"/>
      <c r="AH89" s="231"/>
      <c r="AI89" s="231"/>
      <c r="AJ89" s="231"/>
      <c r="AK89" s="231"/>
      <c r="AL89" s="231"/>
    </row>
    <row r="91" spans="1:38" s="10" customFormat="1" ht="27" customHeight="1" x14ac:dyDescent="0.25">
      <c r="A91" s="202" t="s">
        <v>2</v>
      </c>
      <c r="B91" s="196" t="s">
        <v>3</v>
      </c>
      <c r="C91" s="235" t="s">
        <v>86</v>
      </c>
      <c r="D91" s="196" t="s">
        <v>66</v>
      </c>
      <c r="E91" s="235" t="s">
        <v>167</v>
      </c>
      <c r="F91" s="199" t="s">
        <v>100</v>
      </c>
      <c r="G91" s="245" t="s">
        <v>89</v>
      </c>
      <c r="H91" s="192" t="s">
        <v>168</v>
      </c>
      <c r="I91" s="9"/>
      <c r="J91" s="192">
        <v>2020</v>
      </c>
      <c r="K91" s="192"/>
      <c r="L91" s="192"/>
      <c r="M91" s="192"/>
      <c r="N91" s="9"/>
      <c r="O91" s="192">
        <v>2021</v>
      </c>
      <c r="P91" s="192"/>
      <c r="Q91" s="192"/>
      <c r="R91" s="192"/>
      <c r="T91" s="192">
        <v>2022</v>
      </c>
      <c r="U91" s="192"/>
      <c r="V91" s="192"/>
      <c r="W91" s="192"/>
      <c r="Y91" s="192">
        <v>2023</v>
      </c>
      <c r="Z91" s="192"/>
      <c r="AA91" s="192"/>
      <c r="AB91" s="192"/>
      <c r="AD91" s="213">
        <v>2024</v>
      </c>
      <c r="AE91" s="214"/>
      <c r="AF91" s="214"/>
      <c r="AG91" s="214"/>
      <c r="AI91" s="246" t="s">
        <v>101</v>
      </c>
      <c r="AJ91" s="246"/>
      <c r="AK91" s="246"/>
      <c r="AL91" s="246"/>
    </row>
    <row r="92" spans="1:38" s="10" customFormat="1" ht="16.5" customHeight="1" x14ac:dyDescent="0.25">
      <c r="A92" s="203"/>
      <c r="B92" s="197"/>
      <c r="C92" s="200"/>
      <c r="D92" s="197"/>
      <c r="E92" s="200"/>
      <c r="F92" s="200"/>
      <c r="G92" s="245"/>
      <c r="H92" s="192"/>
      <c r="I92" s="9"/>
      <c r="J92" s="192" t="s">
        <v>4</v>
      </c>
      <c r="K92" s="192"/>
      <c r="L92" s="192" t="s">
        <v>61</v>
      </c>
      <c r="M92" s="192"/>
      <c r="N92" s="9"/>
      <c r="O92" s="192" t="s">
        <v>6</v>
      </c>
      <c r="P92" s="192"/>
      <c r="Q92" s="192" t="s">
        <v>8</v>
      </c>
      <c r="R92" s="192"/>
      <c r="S92" s="9"/>
      <c r="T92" s="192" t="s">
        <v>7</v>
      </c>
      <c r="U92" s="192"/>
      <c r="V92" s="192" t="s">
        <v>8</v>
      </c>
      <c r="W92" s="192"/>
      <c r="Y92" s="192" t="s">
        <v>7</v>
      </c>
      <c r="Z92" s="192"/>
      <c r="AA92" s="192" t="s">
        <v>8</v>
      </c>
      <c r="AB92" s="192"/>
      <c r="AD92" s="192" t="s">
        <v>7</v>
      </c>
      <c r="AE92" s="192"/>
      <c r="AF92" s="192" t="s">
        <v>8</v>
      </c>
      <c r="AG92" s="192"/>
      <c r="AI92" s="235" t="s">
        <v>4</v>
      </c>
      <c r="AJ92" s="235" t="s">
        <v>65</v>
      </c>
      <c r="AK92" s="248" t="s">
        <v>8</v>
      </c>
      <c r="AL92" s="235" t="s">
        <v>5</v>
      </c>
    </row>
    <row r="93" spans="1:38" s="10" customFormat="1" ht="30" x14ac:dyDescent="0.25">
      <c r="A93" s="204"/>
      <c r="B93" s="198"/>
      <c r="C93" s="236"/>
      <c r="D93" s="198"/>
      <c r="E93" s="236"/>
      <c r="F93" s="201"/>
      <c r="G93" s="245"/>
      <c r="H93" s="192"/>
      <c r="I93" s="11"/>
      <c r="J93" s="61" t="s">
        <v>59</v>
      </c>
      <c r="K93" s="61" t="s">
        <v>60</v>
      </c>
      <c r="L93" s="152" t="s">
        <v>63</v>
      </c>
      <c r="M93" s="61" t="s">
        <v>62</v>
      </c>
      <c r="N93" s="11"/>
      <c r="O93" s="153" t="s">
        <v>59</v>
      </c>
      <c r="P93" s="61" t="s">
        <v>60</v>
      </c>
      <c r="Q93" s="153" t="s">
        <v>63</v>
      </c>
      <c r="R93" s="61" t="s">
        <v>62</v>
      </c>
      <c r="S93" s="9"/>
      <c r="T93" s="153" t="s">
        <v>59</v>
      </c>
      <c r="U93" s="61" t="s">
        <v>60</v>
      </c>
      <c r="V93" s="61" t="s">
        <v>63</v>
      </c>
      <c r="W93" s="61" t="s">
        <v>62</v>
      </c>
      <c r="Y93" s="61" t="s">
        <v>59</v>
      </c>
      <c r="Z93" s="61" t="s">
        <v>60</v>
      </c>
      <c r="AA93" s="61" t="s">
        <v>63</v>
      </c>
      <c r="AB93" s="61" t="s">
        <v>62</v>
      </c>
      <c r="AD93" s="61" t="s">
        <v>59</v>
      </c>
      <c r="AE93" s="61" t="s">
        <v>60</v>
      </c>
      <c r="AF93" s="61" t="s">
        <v>63</v>
      </c>
      <c r="AG93" s="61" t="s">
        <v>62</v>
      </c>
      <c r="AI93" s="236"/>
      <c r="AJ93" s="236"/>
      <c r="AK93" s="249"/>
      <c r="AL93" s="236"/>
    </row>
    <row r="94" spans="1:38" ht="45" x14ac:dyDescent="0.25">
      <c r="A94" s="243" t="s">
        <v>137</v>
      </c>
      <c r="B94" s="208" t="s">
        <v>138</v>
      </c>
      <c r="C94" s="208" t="s">
        <v>139</v>
      </c>
      <c r="D94" s="208" t="s">
        <v>153</v>
      </c>
      <c r="E94" s="238" t="str">
        <f>C87</f>
        <v xml:space="preserve"> Incrementar la efectividad de la gestión pública distrital y local. </v>
      </c>
      <c r="F94" s="100" t="s">
        <v>165</v>
      </c>
      <c r="G94" s="100" t="s">
        <v>140</v>
      </c>
      <c r="H94" s="241" t="str">
        <f>C89</f>
        <v>Gestión pública efectiva, abierta y transparente</v>
      </c>
      <c r="I94" s="13"/>
      <c r="J94" s="123">
        <v>0.1</v>
      </c>
      <c r="K94" s="124">
        <v>0.1</v>
      </c>
      <c r="L94" s="113"/>
      <c r="M94" s="94"/>
      <c r="N94" s="95"/>
      <c r="O94" s="123">
        <v>0.25</v>
      </c>
      <c r="P94" s="123">
        <v>0.25</v>
      </c>
      <c r="Q94" s="94"/>
      <c r="R94" s="94"/>
      <c r="S94" s="160"/>
      <c r="T94" s="175">
        <v>0.3</v>
      </c>
      <c r="U94" s="176">
        <v>0.3</v>
      </c>
      <c r="V94" s="155"/>
      <c r="W94" s="156"/>
      <c r="X94" s="97"/>
      <c r="Y94" s="175">
        <v>0.25</v>
      </c>
      <c r="Z94" s="154">
        <v>0.25</v>
      </c>
      <c r="AA94" s="155"/>
      <c r="AB94" s="156"/>
      <c r="AC94" s="97"/>
      <c r="AD94" s="126">
        <v>0.1</v>
      </c>
      <c r="AE94" s="175">
        <v>7.0000000000000007E-2</v>
      </c>
      <c r="AF94" s="155"/>
      <c r="AG94" s="156"/>
      <c r="AH94" s="160"/>
      <c r="AI94" s="126">
        <f t="shared" ref="AI94:AL99" si="9">J94+O94+T94+Y94+AD94</f>
        <v>0.99999999999999989</v>
      </c>
      <c r="AJ94" s="126">
        <f t="shared" si="9"/>
        <v>0.97</v>
      </c>
      <c r="AK94" s="99">
        <f t="shared" si="9"/>
        <v>0</v>
      </c>
      <c r="AL94" s="99">
        <f t="shared" si="9"/>
        <v>0</v>
      </c>
    </row>
    <row r="95" spans="1:38" ht="45" x14ac:dyDescent="0.25">
      <c r="A95" s="244"/>
      <c r="B95" s="209"/>
      <c r="C95" s="209"/>
      <c r="D95" s="209"/>
      <c r="E95" s="239"/>
      <c r="F95" s="177" t="s">
        <v>141</v>
      </c>
      <c r="G95" s="177" t="s">
        <v>142</v>
      </c>
      <c r="H95" s="242"/>
      <c r="I95" s="13"/>
      <c r="J95" s="125">
        <v>0.1</v>
      </c>
      <c r="K95" s="129">
        <v>0.1</v>
      </c>
      <c r="L95" s="110">
        <v>3048.153773</v>
      </c>
      <c r="M95" s="27">
        <v>2948.422376</v>
      </c>
      <c r="N95" s="15"/>
      <c r="O95" s="125">
        <v>0.25</v>
      </c>
      <c r="P95" s="125">
        <v>0.25</v>
      </c>
      <c r="Q95" s="57">
        <f>3679264491/L1</f>
        <v>3679.2644909999999</v>
      </c>
      <c r="R95" s="27">
        <f>3664659327/L1</f>
        <v>3664.6593269999998</v>
      </c>
      <c r="T95" s="178">
        <v>0.3</v>
      </c>
      <c r="U95" s="179">
        <v>0.3</v>
      </c>
      <c r="V95" s="57">
        <f>4404578840/L1</f>
        <v>4404.5788400000001</v>
      </c>
      <c r="W95" s="57">
        <f>4404578838/L1</f>
        <v>4404.5788380000004</v>
      </c>
      <c r="X95" s="87"/>
      <c r="Y95" s="178">
        <v>0.25</v>
      </c>
      <c r="Z95" s="162">
        <v>0.25</v>
      </c>
      <c r="AA95" s="57">
        <f>4995385877/L1</f>
        <v>4995.3858769999997</v>
      </c>
      <c r="AB95" s="158">
        <f>4872884455/L1</f>
        <v>4872.8844550000003</v>
      </c>
      <c r="AC95" s="87"/>
      <c r="AD95" s="127">
        <v>0.1</v>
      </c>
      <c r="AE95" s="180">
        <v>7.8200000000000006E-2</v>
      </c>
      <c r="AF95" s="57">
        <f>4302370108/L1</f>
        <v>4302.3701080000001</v>
      </c>
      <c r="AG95" s="158">
        <f>1782460148/L1</f>
        <v>1782.4601479999999</v>
      </c>
      <c r="AI95" s="127">
        <f t="shared" si="9"/>
        <v>0.99999999999999989</v>
      </c>
      <c r="AJ95" s="127">
        <f t="shared" si="9"/>
        <v>0.97819999999999996</v>
      </c>
      <c r="AK95" s="56">
        <f t="shared" si="9"/>
        <v>20429.753088999998</v>
      </c>
      <c r="AL95" s="56">
        <f t="shared" si="9"/>
        <v>17673.005143999999</v>
      </c>
    </row>
    <row r="96" spans="1:38" ht="45" x14ac:dyDescent="0.25">
      <c r="A96" s="244"/>
      <c r="B96" s="209"/>
      <c r="C96" s="209"/>
      <c r="D96" s="209"/>
      <c r="E96" s="239"/>
      <c r="F96" s="177" t="s">
        <v>143</v>
      </c>
      <c r="G96" s="177" t="s">
        <v>144</v>
      </c>
      <c r="H96" s="242"/>
      <c r="I96" s="13"/>
      <c r="J96" s="125">
        <v>0.1</v>
      </c>
      <c r="K96" s="89">
        <v>0.1</v>
      </c>
      <c r="L96" s="110">
        <v>1331.746357</v>
      </c>
      <c r="M96" s="27">
        <v>1314.039006</v>
      </c>
      <c r="N96" s="15"/>
      <c r="O96" s="125">
        <v>0.25</v>
      </c>
      <c r="P96" s="125">
        <v>0.25</v>
      </c>
      <c r="Q96" s="57">
        <f>2926616487/L1</f>
        <v>2926.6164869999998</v>
      </c>
      <c r="R96" s="27">
        <f>2923453407/L1</f>
        <v>2923.453407</v>
      </c>
      <c r="T96" s="178">
        <v>0.3</v>
      </c>
      <c r="U96" s="163">
        <v>0.3</v>
      </c>
      <c r="V96" s="57">
        <f>3179641038/L1</f>
        <v>3179.6410380000002</v>
      </c>
      <c r="W96" s="57">
        <f>3179601851/L1</f>
        <v>3179.6018509999999</v>
      </c>
      <c r="X96" s="87"/>
      <c r="Y96" s="178">
        <v>0.25</v>
      </c>
      <c r="Z96" s="162">
        <v>0.25</v>
      </c>
      <c r="AA96" s="57">
        <f>3203519211/L1</f>
        <v>3203.5192109999998</v>
      </c>
      <c r="AB96" s="158">
        <f>3147144376/L1</f>
        <v>3147.1443760000002</v>
      </c>
      <c r="AC96" s="87"/>
      <c r="AD96" s="127">
        <v>0.1</v>
      </c>
      <c r="AE96" s="89">
        <v>8.1000000000000003E-2</v>
      </c>
      <c r="AF96" s="57">
        <f>3103440000/L1</f>
        <v>3103.44</v>
      </c>
      <c r="AG96" s="158">
        <f>2336598819/L1</f>
        <v>2336.5988189999998</v>
      </c>
      <c r="AI96" s="127">
        <f t="shared" si="9"/>
        <v>0.99999999999999989</v>
      </c>
      <c r="AJ96" s="127">
        <f t="shared" si="9"/>
        <v>0.98099999999999987</v>
      </c>
      <c r="AK96" s="56">
        <f t="shared" si="9"/>
        <v>13744.963093</v>
      </c>
      <c r="AL96" s="56">
        <f t="shared" si="9"/>
        <v>12900.837458999998</v>
      </c>
    </row>
    <row r="97" spans="1:38" ht="75" x14ac:dyDescent="0.25">
      <c r="A97" s="244"/>
      <c r="B97" s="209"/>
      <c r="C97" s="209"/>
      <c r="D97" s="209"/>
      <c r="E97" s="239"/>
      <c r="F97" s="177" t="s">
        <v>145</v>
      </c>
      <c r="G97" s="177" t="s">
        <v>146</v>
      </c>
      <c r="H97" s="242"/>
      <c r="I97" s="13"/>
      <c r="J97" s="115">
        <v>1.5</v>
      </c>
      <c r="K97" s="116">
        <v>1.5</v>
      </c>
      <c r="L97" s="110">
        <v>147.96897799999999</v>
      </c>
      <c r="M97" s="27">
        <v>147.96897799999999</v>
      </c>
      <c r="N97" s="15"/>
      <c r="O97" s="119">
        <v>3.75</v>
      </c>
      <c r="P97" s="119">
        <v>3.75</v>
      </c>
      <c r="Q97" s="57">
        <f>226913453/L1</f>
        <v>226.913453</v>
      </c>
      <c r="R97" s="27">
        <f>226511474/L1</f>
        <v>226.51147399999999</v>
      </c>
      <c r="T97" s="119">
        <v>4.5</v>
      </c>
      <c r="U97" s="119">
        <v>4.5</v>
      </c>
      <c r="V97" s="57">
        <f>329259368/L1</f>
        <v>329.25936799999999</v>
      </c>
      <c r="W97" s="57">
        <f>329259368/L1</f>
        <v>329.25936799999999</v>
      </c>
      <c r="X97" s="87"/>
      <c r="Y97" s="119">
        <v>3.75</v>
      </c>
      <c r="Z97" s="119">
        <v>3.75</v>
      </c>
      <c r="AA97" s="57">
        <f>263812850/L1</f>
        <v>263.81285000000003</v>
      </c>
      <c r="AB97" s="158">
        <f>263812850/L1</f>
        <v>263.81285000000003</v>
      </c>
      <c r="AC97" s="87"/>
      <c r="AD97" s="119">
        <v>1.5</v>
      </c>
      <c r="AE97" s="119">
        <v>1.2</v>
      </c>
      <c r="AF97" s="57">
        <f>261190892/L1</f>
        <v>261.19089200000002</v>
      </c>
      <c r="AG97" s="158">
        <f>55600000/L1</f>
        <v>55.6</v>
      </c>
      <c r="AI97" s="120">
        <f t="shared" si="9"/>
        <v>15</v>
      </c>
      <c r="AJ97" s="137">
        <f t="shared" si="9"/>
        <v>14.7</v>
      </c>
      <c r="AK97" s="56">
        <f t="shared" si="9"/>
        <v>1229.1455410000001</v>
      </c>
      <c r="AL97" s="56">
        <f t="shared" si="9"/>
        <v>1023.1526700000001</v>
      </c>
    </row>
    <row r="98" spans="1:38" ht="60" x14ac:dyDescent="0.25">
      <c r="A98" s="244"/>
      <c r="B98" s="209"/>
      <c r="C98" s="209"/>
      <c r="D98" s="209"/>
      <c r="E98" s="239"/>
      <c r="F98" s="177" t="s">
        <v>166</v>
      </c>
      <c r="G98" s="177" t="s">
        <v>148</v>
      </c>
      <c r="H98" s="242"/>
      <c r="I98" s="13"/>
      <c r="J98" s="24">
        <v>0</v>
      </c>
      <c r="K98" s="89">
        <v>0</v>
      </c>
      <c r="L98" s="110">
        <v>0</v>
      </c>
      <c r="M98" s="27">
        <v>0</v>
      </c>
      <c r="N98" s="15"/>
      <c r="O98" s="24">
        <v>0.35</v>
      </c>
      <c r="P98" s="128">
        <v>0.35</v>
      </c>
      <c r="Q98" s="122">
        <f>322206012/L1</f>
        <v>322.20601199999999</v>
      </c>
      <c r="R98" s="27">
        <f>322206012/L1</f>
        <v>322.20601199999999</v>
      </c>
      <c r="T98" s="174">
        <v>0.3</v>
      </c>
      <c r="U98" s="162">
        <v>0.3</v>
      </c>
      <c r="V98" s="57">
        <f>1182721850/L1</f>
        <v>1182.7218499999999</v>
      </c>
      <c r="W98" s="57">
        <f>1182721830/L1</f>
        <v>1182.72183</v>
      </c>
      <c r="X98" s="87"/>
      <c r="Y98" s="174">
        <v>0.25</v>
      </c>
      <c r="Z98" s="162">
        <v>0.25</v>
      </c>
      <c r="AA98" s="57">
        <f>984025790/L1</f>
        <v>984.02579000000003</v>
      </c>
      <c r="AB98" s="158">
        <f>984025790/L1</f>
        <v>984.02579000000003</v>
      </c>
      <c r="AC98" s="87"/>
      <c r="AD98" s="89">
        <v>0.1</v>
      </c>
      <c r="AE98" s="89">
        <v>0.08</v>
      </c>
      <c r="AF98" s="57">
        <f>758521000/L1</f>
        <v>758.52099999999996</v>
      </c>
      <c r="AG98" s="158">
        <f>350481903/L1</f>
        <v>350.48190299999999</v>
      </c>
      <c r="AI98" s="89">
        <f t="shared" si="9"/>
        <v>0.99999999999999989</v>
      </c>
      <c r="AJ98" s="107">
        <f t="shared" si="9"/>
        <v>0.97999999999999987</v>
      </c>
      <c r="AK98" s="56">
        <f t="shared" si="9"/>
        <v>3247.4746519999999</v>
      </c>
      <c r="AL98" s="56">
        <f t="shared" si="9"/>
        <v>2839.4355350000001</v>
      </c>
    </row>
    <row r="99" spans="1:38" ht="24.75" customHeight="1" x14ac:dyDescent="0.25">
      <c r="A99" s="171"/>
      <c r="B99" s="139"/>
      <c r="C99" s="139"/>
      <c r="D99" s="139"/>
      <c r="E99" s="140"/>
      <c r="F99" s="177" t="s">
        <v>147</v>
      </c>
      <c r="G99" s="177" t="s">
        <v>148</v>
      </c>
      <c r="H99" s="141"/>
      <c r="I99" s="13"/>
      <c r="J99" s="24">
        <v>0.05</v>
      </c>
      <c r="K99" s="89">
        <v>0.05</v>
      </c>
      <c r="L99" s="110">
        <v>2200.3575080000001</v>
      </c>
      <c r="M99" s="27">
        <v>1998.231702</v>
      </c>
      <c r="N99" s="15"/>
      <c r="O99" s="121">
        <v>0.125</v>
      </c>
      <c r="P99" s="131">
        <v>0.125</v>
      </c>
      <c r="Q99" s="122">
        <f>2090691557/L1</f>
        <v>2090.6915570000001</v>
      </c>
      <c r="R99" s="27">
        <f>2083805588/L1</f>
        <v>2083.8055880000002</v>
      </c>
      <c r="T99" s="174">
        <v>0.15</v>
      </c>
      <c r="U99" s="163">
        <v>0.15</v>
      </c>
      <c r="V99" s="57">
        <f xml:space="preserve"> 2903798904/L1</f>
        <v>2903.7989040000002</v>
      </c>
      <c r="W99" s="57">
        <f>2883365115/L1</f>
        <v>2883.3651150000001</v>
      </c>
      <c r="X99" s="87"/>
      <c r="Y99" s="181">
        <v>0.125</v>
      </c>
      <c r="Z99" s="162">
        <v>0.125</v>
      </c>
      <c r="AA99" s="57">
        <f>3179412272/L1</f>
        <v>3179.412272</v>
      </c>
      <c r="AB99" s="158">
        <f>3154044903/L1</f>
        <v>3154.044903</v>
      </c>
      <c r="AC99" s="87"/>
      <c r="AD99" s="89">
        <v>0.05</v>
      </c>
      <c r="AE99" s="89">
        <v>0.03</v>
      </c>
      <c r="AF99" s="57">
        <f>6200027000/L1</f>
        <v>6200.027</v>
      </c>
      <c r="AG99" s="158">
        <f>1924407585/L1</f>
        <v>1924.4075849999999</v>
      </c>
      <c r="AI99" s="89">
        <f t="shared" si="9"/>
        <v>0.49999999999999994</v>
      </c>
      <c r="AJ99" s="89">
        <f t="shared" si="9"/>
        <v>0.48</v>
      </c>
      <c r="AK99" s="56">
        <f t="shared" si="9"/>
        <v>16574.287240999998</v>
      </c>
      <c r="AL99" s="56">
        <f t="shared" si="9"/>
        <v>12043.854893</v>
      </c>
    </row>
    <row r="100" spans="1:38" s="6" customFormat="1" ht="15.75" x14ac:dyDescent="0.25">
      <c r="A100" s="164"/>
      <c r="B100" s="62" t="s">
        <v>102</v>
      </c>
      <c r="C100" s="62"/>
      <c r="D100" s="62"/>
      <c r="E100" s="62"/>
      <c r="F100" s="37"/>
      <c r="G100" s="37"/>
      <c r="H100" s="37"/>
      <c r="I100" s="38"/>
      <c r="J100" s="39"/>
      <c r="K100" s="39"/>
      <c r="L100" s="111">
        <f>SUM(L94:L99)</f>
        <v>6728.2266159999999</v>
      </c>
      <c r="M100" s="108">
        <f>SUM(M94:M99)</f>
        <v>6408.6620619999994</v>
      </c>
      <c r="N100" s="41"/>
      <c r="O100" s="39"/>
      <c r="P100" s="39"/>
      <c r="Q100" s="108">
        <f>SUM(Q94:Q99)</f>
        <v>9245.6919999999991</v>
      </c>
      <c r="R100" s="108">
        <f>SUM(R94:R99)</f>
        <v>9220.6358079999991</v>
      </c>
      <c r="T100" s="39"/>
      <c r="U100" s="39"/>
      <c r="V100" s="108">
        <f>SUM(V94:V99)</f>
        <v>12000</v>
      </c>
      <c r="W100" s="108">
        <f>SUM(W94:W99)</f>
        <v>11979.527002000001</v>
      </c>
      <c r="Y100" s="39"/>
      <c r="Z100" s="39"/>
      <c r="AA100" s="108">
        <f>SUM(AA94:AA99)</f>
        <v>12626.155999999999</v>
      </c>
      <c r="AB100" s="108">
        <f>SUM(AB94:AB99)</f>
        <v>12421.912374</v>
      </c>
      <c r="AD100" s="39"/>
      <c r="AE100" s="40"/>
      <c r="AF100" s="108">
        <f>SUM(AF94:AF99)</f>
        <v>14625.548999999999</v>
      </c>
      <c r="AG100" s="108">
        <f>SUM(AG94:AG99)</f>
        <v>6449.5484550000001</v>
      </c>
      <c r="AI100" s="85"/>
      <c r="AJ100" s="85"/>
      <c r="AK100" s="108">
        <f>SUM(AK94:AK99)</f>
        <v>55225.62361599999</v>
      </c>
      <c r="AL100" s="108">
        <f>SUM(AL94:AL99)</f>
        <v>46480.285701000001</v>
      </c>
    </row>
  </sheetData>
  <mergeCells count="200">
    <mergeCell ref="A94:A98"/>
    <mergeCell ref="B94:B98"/>
    <mergeCell ref="C94:C98"/>
    <mergeCell ref="D94:D98"/>
    <mergeCell ref="E94:E98"/>
    <mergeCell ref="A57:A60"/>
    <mergeCell ref="A76:A78"/>
    <mergeCell ref="B76:B78"/>
    <mergeCell ref="C76:C78"/>
    <mergeCell ref="D76:D78"/>
    <mergeCell ref="E76:E78"/>
    <mergeCell ref="C73:AL73"/>
    <mergeCell ref="AD76:AG76"/>
    <mergeCell ref="AI76:AL76"/>
    <mergeCell ref="AD77:AE77"/>
    <mergeCell ref="AF77:AG77"/>
    <mergeCell ref="AI77:AI78"/>
    <mergeCell ref="AJ77:AJ78"/>
    <mergeCell ref="H94:H98"/>
    <mergeCell ref="A69:AL69"/>
    <mergeCell ref="C71:AL71"/>
    <mergeCell ref="C72:AL72"/>
    <mergeCell ref="A91:A93"/>
    <mergeCell ref="B91:B93"/>
    <mergeCell ref="AJ92:AJ93"/>
    <mergeCell ref="AK92:AK93"/>
    <mergeCell ref="AL92:AL93"/>
    <mergeCell ref="A79:A81"/>
    <mergeCell ref="F76:F78"/>
    <mergeCell ref="AK77:AK78"/>
    <mergeCell ref="AL77:AL78"/>
    <mergeCell ref="B79:B81"/>
    <mergeCell ref="C79:C81"/>
    <mergeCell ref="D79:D81"/>
    <mergeCell ref="E79:E81"/>
    <mergeCell ref="H79:H81"/>
    <mergeCell ref="V92:W92"/>
    <mergeCell ref="Y92:Z92"/>
    <mergeCell ref="AA92:AB92"/>
    <mergeCell ref="C87:AL87"/>
    <mergeCell ref="AF92:AG92"/>
    <mergeCell ref="AI92:AI93"/>
    <mergeCell ref="A30:AL30"/>
    <mergeCell ref="C32:AL32"/>
    <mergeCell ref="C34:AL34"/>
    <mergeCell ref="C35:AL35"/>
    <mergeCell ref="A47:AL47"/>
    <mergeCell ref="C49:AL49"/>
    <mergeCell ref="C51:AL51"/>
    <mergeCell ref="C52:AL52"/>
    <mergeCell ref="O37:R37"/>
    <mergeCell ref="T37:W37"/>
    <mergeCell ref="Y37:AB37"/>
    <mergeCell ref="AD37:AG37"/>
    <mergeCell ref="AI37:AL37"/>
    <mergeCell ref="J38:K38"/>
    <mergeCell ref="L38:M38"/>
    <mergeCell ref="O38:P38"/>
    <mergeCell ref="Q38:R38"/>
    <mergeCell ref="AI38:AI39"/>
    <mergeCell ref="AJ38:AJ39"/>
    <mergeCell ref="AK38:AK39"/>
    <mergeCell ref="AL38:AL39"/>
    <mergeCell ref="A37:A39"/>
    <mergeCell ref="C37:C39"/>
    <mergeCell ref="B37:B39"/>
    <mergeCell ref="V55:W55"/>
    <mergeCell ref="Y55:Z55"/>
    <mergeCell ref="AA55:AB55"/>
    <mergeCell ref="AD55:AE55"/>
    <mergeCell ref="AF55:AG55"/>
    <mergeCell ref="AI55:AI56"/>
    <mergeCell ref="AJ55:AJ56"/>
    <mergeCell ref="C91:C93"/>
    <mergeCell ref="D91:D93"/>
    <mergeCell ref="E91:E93"/>
    <mergeCell ref="F91:F93"/>
    <mergeCell ref="C74:AL74"/>
    <mergeCell ref="A84:AL84"/>
    <mergeCell ref="C86:AL86"/>
    <mergeCell ref="C88:AL88"/>
    <mergeCell ref="C89:AL89"/>
    <mergeCell ref="AD91:AG91"/>
    <mergeCell ref="AI91:AL91"/>
    <mergeCell ref="J92:K92"/>
    <mergeCell ref="L92:M92"/>
    <mergeCell ref="O92:P92"/>
    <mergeCell ref="Q92:R92"/>
    <mergeCell ref="T92:U92"/>
    <mergeCell ref="AD92:AE92"/>
    <mergeCell ref="D37:D39"/>
    <mergeCell ref="E37:E39"/>
    <mergeCell ref="F37:F39"/>
    <mergeCell ref="G37:G39"/>
    <mergeCell ref="H37:H39"/>
    <mergeCell ref="J37:M37"/>
    <mergeCell ref="T38:U38"/>
    <mergeCell ref="G76:G78"/>
    <mergeCell ref="H76:H78"/>
    <mergeCell ref="E40:E44"/>
    <mergeCell ref="D40:D44"/>
    <mergeCell ref="E57:E64"/>
    <mergeCell ref="D57:D64"/>
    <mergeCell ref="Q55:R55"/>
    <mergeCell ref="T55:U55"/>
    <mergeCell ref="V38:W38"/>
    <mergeCell ref="Y38:Z38"/>
    <mergeCell ref="AA38:AB38"/>
    <mergeCell ref="AD38:AE38"/>
    <mergeCell ref="AF38:AG38"/>
    <mergeCell ref="G91:G93"/>
    <mergeCell ref="H91:H93"/>
    <mergeCell ref="J91:M91"/>
    <mergeCell ref="O91:R91"/>
    <mergeCell ref="T91:W91"/>
    <mergeCell ref="Y91:AB91"/>
    <mergeCell ref="J76:M76"/>
    <mergeCell ref="O76:R76"/>
    <mergeCell ref="T76:W76"/>
    <mergeCell ref="Y76:AB76"/>
    <mergeCell ref="J77:K77"/>
    <mergeCell ref="L77:M77"/>
    <mergeCell ref="O77:P77"/>
    <mergeCell ref="Q77:R77"/>
    <mergeCell ref="T77:U77"/>
    <mergeCell ref="V77:W77"/>
    <mergeCell ref="Y77:Z77"/>
    <mergeCell ref="AA77:AB77"/>
    <mergeCell ref="H57:H60"/>
    <mergeCell ref="A40:A43"/>
    <mergeCell ref="H40:H43"/>
    <mergeCell ref="A54:A56"/>
    <mergeCell ref="B54:B56"/>
    <mergeCell ref="C54:C56"/>
    <mergeCell ref="D54:D56"/>
    <mergeCell ref="E54:E56"/>
    <mergeCell ref="F54:F56"/>
    <mergeCell ref="G54:G56"/>
    <mergeCell ref="H54:H56"/>
    <mergeCell ref="C50:AL50"/>
    <mergeCell ref="J54:M54"/>
    <mergeCell ref="O54:R54"/>
    <mergeCell ref="T54:W54"/>
    <mergeCell ref="Y54:AB54"/>
    <mergeCell ref="AD54:AG54"/>
    <mergeCell ref="AI54:AL54"/>
    <mergeCell ref="J55:K55"/>
    <mergeCell ref="L55:M55"/>
    <mergeCell ref="O55:P55"/>
    <mergeCell ref="C40:C44"/>
    <mergeCell ref="B40:B44"/>
    <mergeCell ref="AK55:AK56"/>
    <mergeCell ref="AL55:AL56"/>
    <mergeCell ref="B17:B27"/>
    <mergeCell ref="C17:C27"/>
    <mergeCell ref="D17:D27"/>
    <mergeCell ref="E17:E27"/>
    <mergeCell ref="H17:H27"/>
    <mergeCell ref="A17:A27"/>
    <mergeCell ref="G14:G16"/>
    <mergeCell ref="A14:A16"/>
    <mergeCell ref="AI14:AL14"/>
    <mergeCell ref="H14:H16"/>
    <mergeCell ref="J14:M14"/>
    <mergeCell ref="O14:R14"/>
    <mergeCell ref="T14:W14"/>
    <mergeCell ref="Y14:AB14"/>
    <mergeCell ref="AD14:AG14"/>
    <mergeCell ref="Q15:R15"/>
    <mergeCell ref="T15:U15"/>
    <mergeCell ref="V15:W15"/>
    <mergeCell ref="Y15:Z15"/>
    <mergeCell ref="AL15:AL16"/>
    <mergeCell ref="AA15:AB15"/>
    <mergeCell ref="AD15:AE15"/>
    <mergeCell ref="AF15:AG15"/>
    <mergeCell ref="C57:C64"/>
    <mergeCell ref="B57:B64"/>
    <mergeCell ref="C33:AL33"/>
    <mergeCell ref="A2:AL2"/>
    <mergeCell ref="A3:AL3"/>
    <mergeCell ref="A4:AL4"/>
    <mergeCell ref="A5:AL5"/>
    <mergeCell ref="A6:AL6"/>
    <mergeCell ref="AI15:AI16"/>
    <mergeCell ref="AJ15:AJ16"/>
    <mergeCell ref="AK15:AK16"/>
    <mergeCell ref="J15:K15"/>
    <mergeCell ref="L15:M15"/>
    <mergeCell ref="O15:P15"/>
    <mergeCell ref="B14:B16"/>
    <mergeCell ref="C14:C16"/>
    <mergeCell ref="D14:D16"/>
    <mergeCell ref="E14:E16"/>
    <mergeCell ref="F14:F16"/>
    <mergeCell ref="C9:AL9"/>
    <mergeCell ref="C11:AL11"/>
    <mergeCell ref="C12:AL12"/>
    <mergeCell ref="C10:AL10"/>
    <mergeCell ref="A7:AL7"/>
  </mergeCells>
  <printOptions headings="1"/>
  <pageMargins left="0.70866141732283472" right="0.70866141732283472" top="0.74803149606299213" bottom="0.74803149606299213" header="0.31496062992125984" footer="0.31496062992125984"/>
  <pageSetup paperSize="5" scale="30" fitToHeight="2" orientation="landscape" r:id="rId1"/>
  <customProperties>
    <customPr name="_pios_id" r:id="rId2"/>
    <customPr name="EpmWorksheetKeyString_GUID" r:id="rId3"/>
  </customProperties>
  <ignoredErrors>
    <ignoredError sqref="AI23 AI62:AI63" formula="1"/>
    <ignoredError sqref="AJ43" evalError="1"/>
    <ignoredError sqref="T43 Y43" numberStoredAsText="1"/>
  </ignoredErrors>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DIFERENCIAS</vt:lpstr>
      <vt:lpstr>SOPORTE REPROGRAMACIÓN $ 2017</vt:lpstr>
      <vt:lpstr>ABR-24</vt:lpstr>
      <vt:lpstr>'ABR-24'!Área_de_impresión</vt:lpstr>
    </vt:vector>
  </TitlesOfParts>
  <Company>IPES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Cuadro de Mando Integral</dc:title>
  <dc:creator>Oficina Asesora de Planeación</dc:creator>
  <cp:keywords>CMI</cp:keywords>
  <cp:lastModifiedBy>Cristian Camilo Rodriguez Melo</cp:lastModifiedBy>
  <cp:lastPrinted>2024-05-30T23:54:57Z</cp:lastPrinted>
  <dcterms:created xsi:type="dcterms:W3CDTF">2009-07-24T20:19:08Z</dcterms:created>
  <dcterms:modified xsi:type="dcterms:W3CDTF">2024-05-30T23:55:39Z</dcterms:modified>
</cp:coreProperties>
</file>